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jc\Desktop\Коммуны\СОБРАНИЕ\2023\Инфо к собранию 2023\Сообщение Бюллетень Регистрация\Новая повестка\"/>
    </mc:Choice>
  </mc:AlternateContent>
  <xr:revisionPtr revIDLastSave="0" documentId="13_ncr:1_{B441E381-5637-4525-AAE5-6061C815BB86}" xr6:coauthVersionLast="37" xr6:coauthVersionMax="37" xr10:uidLastSave="{00000000-0000-0000-0000-000000000000}"/>
  <bookViews>
    <workbookView xWindow="0" yWindow="0" windowWidth="23040" windowHeight="9708" xr2:uid="{00000000-000D-0000-FFFF-FFFF00000000}"/>
  </bookViews>
  <sheets>
    <sheet name="Тариф для ОСС_жилье" sheetId="1" r:id="rId1"/>
    <sheet name="Тариф для ОСС_нежилье" sheetId="2" r:id="rId2"/>
    <sheet name="Достаточность по ОСС" sheetId="3" r:id="rId3"/>
    <sheet name="Разъяснения" sheetId="4" r:id="rId4"/>
    <sheet name="Лифты_формула" sheetId="5" r:id="rId5"/>
    <sheet name="Лифты_расходы" sheetId="6" r:id="rId6"/>
    <sheet name="Управление" sheetId="7" r:id="rId7"/>
    <sheet name="Слаб., тепл.системы" sheetId="8" r:id="rId8"/>
  </sheets>
  <definedNames>
    <definedName name="f" localSheetId="7" hidden="1">#REF!</definedName>
    <definedName name="f" hidden="1">#REF!</definedName>
    <definedName name="limcount" hidden="1">1</definedName>
    <definedName name="Print_Area">#REF!</definedName>
    <definedName name="Z_0885457D_12CF_4923_864D_998BA35CE01D_.wvu.Cols" localSheetId="7" hidden="1">#REF!</definedName>
    <definedName name="Z_0885457D_12CF_4923_864D_998BA35CE01D_.wvu.Cols" hidden="1">#REF!</definedName>
    <definedName name="Z_0885457D_12CF_4923_864D_998BA35CE01D_.wvu.Rows" localSheetId="7" hidden="1">#REF!</definedName>
    <definedName name="Z_0885457D_12CF_4923_864D_998BA35CE01D_.wvu.Rows" hidden="1">#REF!</definedName>
    <definedName name="Z_144EA558_4B8B_4239_858D_3D3B320E64FA_.wvu.Cols" localSheetId="7" hidden="1">#REF!</definedName>
    <definedName name="Z_144EA558_4B8B_4239_858D_3D3B320E64FA_.wvu.Cols" hidden="1">#REF!</definedName>
    <definedName name="Z_144EA558_4B8B_4239_858D_3D3B320E64FA_.wvu.PrintArea" localSheetId="7" hidden="1">#REF!</definedName>
    <definedName name="Z_144EA558_4B8B_4239_858D_3D3B320E64FA_.wvu.PrintArea" hidden="1">#REF!</definedName>
    <definedName name="Z_2D3F4D39_1D20_491A_8BE9_2F4C8E41EE2A_.wvu.Cols" localSheetId="7" hidden="1">#REF!</definedName>
    <definedName name="Z_2D3F4D39_1D20_491A_8BE9_2F4C8E41EE2A_.wvu.Cols" hidden="1">#REF!</definedName>
    <definedName name="Август" localSheetId="7" hidden="1">#REF!</definedName>
    <definedName name="Август" hidden="1">#REF!</definedName>
    <definedName name="ж58545" localSheetId="7">#REF!</definedName>
    <definedName name="ж58545">#REF!</definedName>
    <definedName name="лазурное" localSheetId="7">#REF!</definedName>
    <definedName name="лазурное">#REF!</definedName>
    <definedName name="мир" localSheetId="7">#REF!</definedName>
    <definedName name="мир">#REF!</definedName>
    <definedName name="монблан" localSheetId="7" hidden="1">#REF!</definedName>
    <definedName name="монблан" hidden="1">#REF!</definedName>
    <definedName name="_xlnm.Print_Area" localSheetId="7">#REF!</definedName>
    <definedName name="_xlnm.Print_Area" localSheetId="0">'Тариф для ОСС_жилье'!$A$1:$D$22</definedName>
    <definedName name="_xlnm.Print_Area" localSheetId="1">'Тариф для ОСС_нежилье'!$A$1:$E$18</definedName>
    <definedName name="ппп" localSheetId="7">#REF!</definedName>
    <definedName name="ппп">#REF!</definedName>
    <definedName name="х_265" localSheetId="7" hidden="1">#REF!</definedName>
    <definedName name="х_265" hidden="1">#REF!</definedName>
    <definedName name="юз" localSheetId="7" hidden="1">#REF!</definedName>
    <definedName name="юз" hidden="1">#REF!</definedName>
  </definedNames>
  <calcPr calcId="179021"/>
</workbook>
</file>

<file path=xl/calcChain.xml><?xml version="1.0" encoding="utf-8"?>
<calcChain xmlns="http://schemas.openxmlformats.org/spreadsheetml/2006/main">
  <c r="C8" i="8" l="1"/>
  <c r="B8" i="8"/>
  <c r="D6" i="8"/>
  <c r="D9" i="8" s="1"/>
  <c r="C6" i="8"/>
  <c r="C9" i="8" s="1"/>
  <c r="B6" i="8"/>
  <c r="B9" i="8" s="1"/>
  <c r="D11" i="7"/>
  <c r="C11" i="7"/>
  <c r="B11" i="7"/>
  <c r="D10" i="7"/>
  <c r="C10" i="7"/>
  <c r="B10" i="7"/>
  <c r="D9" i="7"/>
  <c r="D8" i="7"/>
  <c r="D7" i="7"/>
  <c r="D12" i="7" s="1"/>
  <c r="C6" i="7"/>
  <c r="B6" i="7"/>
  <c r="C5" i="7"/>
  <c r="B5" i="7"/>
  <c r="B12" i="7" s="1"/>
  <c r="N4" i="6"/>
  <c r="M4" i="6"/>
  <c r="L4" i="6"/>
  <c r="K4" i="6"/>
  <c r="G4" i="6"/>
  <c r="F4" i="6"/>
  <c r="D4" i="6"/>
  <c r="E17" i="5"/>
  <c r="E20" i="5" s="1"/>
  <c r="E22" i="5" s="1"/>
  <c r="E16" i="5"/>
  <c r="E15" i="5"/>
  <c r="B10" i="5"/>
  <c r="B7" i="5"/>
  <c r="J17" i="4"/>
  <c r="I17" i="4"/>
  <c r="E17" i="4"/>
  <c r="L15" i="4"/>
  <c r="J15" i="4"/>
  <c r="I15" i="4"/>
  <c r="F15" i="4"/>
  <c r="G15" i="4" s="1"/>
  <c r="E15" i="4"/>
  <c r="K13" i="4"/>
  <c r="J13" i="4"/>
  <c r="D13" i="4"/>
  <c r="E13" i="4" s="1"/>
  <c r="K12" i="4"/>
  <c r="J12" i="4"/>
  <c r="G12" i="4"/>
  <c r="H12" i="4" s="1"/>
  <c r="D12" i="4"/>
  <c r="E12" i="4" s="1"/>
  <c r="F12" i="4" s="1"/>
  <c r="I11" i="4"/>
  <c r="G11" i="4"/>
  <c r="E11" i="4"/>
  <c r="D11" i="4"/>
  <c r="B6" i="4"/>
  <c r="S14" i="3"/>
  <c r="O14" i="3"/>
  <c r="R14" i="3" s="1"/>
  <c r="M14" i="3"/>
  <c r="K14" i="3"/>
  <c r="J14" i="3"/>
  <c r="L14" i="3" s="1"/>
  <c r="I14" i="3"/>
  <c r="G14" i="3"/>
  <c r="B14" i="3"/>
  <c r="D14" i="3" s="1"/>
  <c r="E14" i="3" s="1"/>
  <c r="R13" i="3"/>
  <c r="O13" i="3"/>
  <c r="J13" i="3"/>
  <c r="G13" i="3"/>
  <c r="D13" i="3"/>
  <c r="E13" i="3" s="1"/>
  <c r="C13" i="3"/>
  <c r="B13" i="3"/>
  <c r="G12" i="3"/>
  <c r="B12" i="3"/>
  <c r="S11" i="3"/>
  <c r="R11" i="3"/>
  <c r="T11" i="3" s="1"/>
  <c r="L11" i="3"/>
  <c r="K11" i="3"/>
  <c r="J11" i="3"/>
  <c r="D11" i="3"/>
  <c r="T10" i="3"/>
  <c r="S10" i="3"/>
  <c r="R10" i="3"/>
  <c r="H10" i="3"/>
  <c r="G10" i="3"/>
  <c r="J10" i="3" s="1"/>
  <c r="B10" i="3"/>
  <c r="S9" i="3"/>
  <c r="R9" i="3"/>
  <c r="T9" i="3" s="1"/>
  <c r="K9" i="3"/>
  <c r="J9" i="3"/>
  <c r="H9" i="3"/>
  <c r="G9" i="3"/>
  <c r="I9" i="3" s="1"/>
  <c r="E9" i="3"/>
  <c r="C9" i="3"/>
  <c r="B9" i="3"/>
  <c r="D9" i="3" s="1"/>
  <c r="X8" i="3"/>
  <c r="S8" i="3"/>
  <c r="R8" i="3"/>
  <c r="Q8" i="3"/>
  <c r="O8" i="3"/>
  <c r="G8" i="3"/>
  <c r="J8" i="3" s="1"/>
  <c r="C8" i="3"/>
  <c r="D8" i="3" s="1"/>
  <c r="E8" i="3" s="1"/>
  <c r="B8" i="3"/>
  <c r="O7" i="3"/>
  <c r="T6" i="3"/>
  <c r="S6" i="3"/>
  <c r="R6" i="3"/>
  <c r="S5" i="3"/>
  <c r="R5" i="3"/>
  <c r="T5" i="3" s="1"/>
  <c r="K5" i="3"/>
  <c r="J5" i="3"/>
  <c r="H5" i="3"/>
  <c r="G5" i="3"/>
  <c r="I5" i="3" s="1"/>
  <c r="C5" i="3"/>
  <c r="B5" i="3"/>
  <c r="D5" i="3" s="1"/>
  <c r="E5" i="3" s="1"/>
  <c r="U4" i="3"/>
  <c r="S4" i="3"/>
  <c r="R4" i="3"/>
  <c r="T4" i="3" s="1"/>
  <c r="Q4" i="3"/>
  <c r="O4" i="3"/>
  <c r="K4" i="3"/>
  <c r="G4" i="3"/>
  <c r="J4" i="3" s="1"/>
  <c r="E4" i="3"/>
  <c r="D4" i="3"/>
  <c r="B4" i="3"/>
  <c r="O3" i="3"/>
  <c r="G3" i="3"/>
  <c r="B3" i="3"/>
  <c r="G18" i="2"/>
  <c r="F18" i="2"/>
  <c r="G17" i="2"/>
  <c r="F17" i="2"/>
  <c r="G16" i="2"/>
  <c r="F16" i="2"/>
  <c r="G15" i="2"/>
  <c r="F15" i="2"/>
  <c r="G14" i="2"/>
  <c r="F14" i="2"/>
  <c r="G13" i="2"/>
  <c r="F13" i="2"/>
  <c r="E12" i="2"/>
  <c r="O12" i="3" s="1"/>
  <c r="D12" i="2"/>
  <c r="G11" i="2"/>
  <c r="F11" i="2"/>
  <c r="G10" i="2"/>
  <c r="F10" i="2"/>
  <c r="E10" i="2"/>
  <c r="A10" i="2"/>
  <c r="A11" i="2" s="1"/>
  <c r="G9" i="2"/>
  <c r="F9" i="2"/>
  <c r="A9" i="2"/>
  <c r="G8" i="2"/>
  <c r="F8" i="2"/>
  <c r="E7" i="2"/>
  <c r="D7" i="2"/>
  <c r="G22" i="1"/>
  <c r="F22" i="1"/>
  <c r="G21" i="1"/>
  <c r="F21" i="1"/>
  <c r="G20" i="1"/>
  <c r="F20" i="1"/>
  <c r="G19" i="1"/>
  <c r="F19" i="1"/>
  <c r="G18" i="1"/>
  <c r="F18" i="1"/>
  <c r="G17" i="1"/>
  <c r="F17" i="1"/>
  <c r="E16" i="1"/>
  <c r="D16" i="1"/>
  <c r="D7" i="1" s="1"/>
  <c r="G15" i="1"/>
  <c r="F15" i="1"/>
  <c r="G14" i="1"/>
  <c r="F14" i="1"/>
  <c r="G13" i="1"/>
  <c r="F13" i="1"/>
  <c r="E12" i="1"/>
  <c r="E11" i="1"/>
  <c r="G10" i="1"/>
  <c r="F10" i="1"/>
  <c r="A10" i="1"/>
  <c r="A11" i="1" s="1"/>
  <c r="A12" i="1" s="1"/>
  <c r="A13" i="1" s="1"/>
  <c r="A14" i="1" s="1"/>
  <c r="A15" i="1" s="1"/>
  <c r="G9" i="1"/>
  <c r="F9" i="1"/>
  <c r="A9" i="1"/>
  <c r="G8" i="1"/>
  <c r="E8" i="1"/>
  <c r="F8" i="1" s="1"/>
  <c r="O15" i="3" l="1"/>
  <c r="H13" i="3"/>
  <c r="P13" i="3"/>
  <c r="S13" i="3" s="1"/>
  <c r="U13" i="3" s="1"/>
  <c r="T14" i="3"/>
  <c r="U14" i="3"/>
  <c r="G6" i="3"/>
  <c r="G15" i="3" s="1"/>
  <c r="B6" i="3"/>
  <c r="F11" i="1"/>
  <c r="G11" i="1"/>
  <c r="R12" i="3"/>
  <c r="H15" i="4"/>
  <c r="M15" i="4" s="1"/>
  <c r="B7" i="3"/>
  <c r="B15" i="3" s="1"/>
  <c r="F12" i="1"/>
  <c r="G12" i="1"/>
  <c r="G7" i="3"/>
  <c r="G16" i="1"/>
  <c r="Q13" i="3"/>
  <c r="F17" i="4"/>
  <c r="G17" i="4" s="1"/>
  <c r="O4" i="6"/>
  <c r="C10" i="3" s="1"/>
  <c r="D10" i="3" s="1"/>
  <c r="E10" i="3" s="1"/>
  <c r="J3" i="3"/>
  <c r="M4" i="3"/>
  <c r="L4" i="3"/>
  <c r="M5" i="3"/>
  <c r="L5" i="3"/>
  <c r="R7" i="3"/>
  <c r="K10" i="3"/>
  <c r="M10" i="3" s="1"/>
  <c r="I10" i="3"/>
  <c r="J12" i="3"/>
  <c r="T13" i="3"/>
  <c r="S4" i="6"/>
  <c r="G7" i="2"/>
  <c r="H8" i="3"/>
  <c r="U8" i="3"/>
  <c r="T8" i="3"/>
  <c r="M9" i="3"/>
  <c r="L9" i="3"/>
  <c r="L10" i="3"/>
  <c r="H11" i="4"/>
  <c r="G13" i="4"/>
  <c r="H13" i="4" s="1"/>
  <c r="F13" i="4"/>
  <c r="C12" i="7"/>
  <c r="F16" i="1"/>
  <c r="F7" i="2"/>
  <c r="F12" i="2"/>
  <c r="R3" i="3"/>
  <c r="I4" i="3"/>
  <c r="Q14" i="3"/>
  <c r="H4" i="6"/>
  <c r="E7" i="1"/>
  <c r="G12" i="2"/>
  <c r="I4" i="6"/>
  <c r="N15" i="4" l="1"/>
  <c r="P7" i="3"/>
  <c r="H7" i="3"/>
  <c r="K7" i="3" s="1"/>
  <c r="C7" i="3"/>
  <c r="O15" i="4"/>
  <c r="P15" i="4" s="1"/>
  <c r="H17" i="4"/>
  <c r="M17" i="4" s="1"/>
  <c r="D7" i="3"/>
  <c r="E7" i="3" s="1"/>
  <c r="J6" i="3"/>
  <c r="K8" i="3"/>
  <c r="I8" i="3"/>
  <c r="P4" i="6"/>
  <c r="Q4" i="6" s="1"/>
  <c r="I7" i="3"/>
  <c r="J7" i="3"/>
  <c r="K13" i="3"/>
  <c r="I13" i="3"/>
  <c r="G7" i="1"/>
  <c r="F7" i="1"/>
  <c r="R15" i="3"/>
  <c r="H12" i="3"/>
  <c r="C12" i="3"/>
  <c r="D12" i="3" s="1"/>
  <c r="E12" i="3" s="1"/>
  <c r="P12" i="3"/>
  <c r="M11" i="4"/>
  <c r="N17" i="4" l="1"/>
  <c r="H6" i="3"/>
  <c r="O17" i="4"/>
  <c r="P17" i="4" s="1"/>
  <c r="C6" i="3"/>
  <c r="D6" i="3" s="1"/>
  <c r="E6" i="3" s="1"/>
  <c r="S15" i="4"/>
  <c r="R15" i="4"/>
  <c r="S12" i="3"/>
  <c r="Q12" i="3"/>
  <c r="S7" i="3"/>
  <c r="Q7" i="3"/>
  <c r="J15" i="3"/>
  <c r="M13" i="3"/>
  <c r="L13" i="3"/>
  <c r="N11" i="4"/>
  <c r="O11" i="4" s="1"/>
  <c r="P11" i="4" s="1"/>
  <c r="P3" i="3"/>
  <c r="K12" i="3"/>
  <c r="I12" i="3"/>
  <c r="M7" i="3"/>
  <c r="L7" i="3"/>
  <c r="L8" i="3"/>
  <c r="M8" i="3"/>
  <c r="R11" i="4" l="1"/>
  <c r="S11" i="4"/>
  <c r="S17" i="4"/>
  <c r="R17" i="4"/>
  <c r="U7" i="3"/>
  <c r="T7" i="3"/>
  <c r="C3" i="3"/>
  <c r="K6" i="3"/>
  <c r="I6" i="3"/>
  <c r="H3" i="3"/>
  <c r="U12" i="3"/>
  <c r="T12" i="3"/>
  <c r="P15" i="3"/>
  <c r="Q15" i="3" s="1"/>
  <c r="S3" i="3"/>
  <c r="Q3" i="3"/>
  <c r="M12" i="3"/>
  <c r="L12" i="3"/>
  <c r="S15" i="3" l="1"/>
  <c r="U3" i="3"/>
  <c r="T3" i="3"/>
  <c r="L6" i="3"/>
  <c r="M6" i="3"/>
  <c r="C15" i="3"/>
  <c r="D15" i="3" s="1"/>
  <c r="E15" i="3" s="1"/>
  <c r="D3" i="3"/>
  <c r="E3" i="3" s="1"/>
  <c r="K3" i="3"/>
  <c r="H15" i="3"/>
  <c r="I15" i="3" s="1"/>
  <c r="I3" i="3"/>
  <c r="K15" i="3" l="1"/>
  <c r="L3" i="3"/>
  <c r="M3" i="3"/>
  <c r="U15" i="3"/>
  <c r="T15" i="3"/>
  <c r="L15" i="3" l="1"/>
  <c r="M15" i="3"/>
</calcChain>
</file>

<file path=xl/sharedStrings.xml><?xml version="1.0" encoding="utf-8"?>
<sst xmlns="http://schemas.openxmlformats.org/spreadsheetml/2006/main" count="210" uniqueCount="128">
  <si>
    <t>Приложение №1</t>
  </si>
  <si>
    <t>ТАРИФОВ И ЦЕН НА УСЛУГИ И РАБОТЫ</t>
  </si>
  <si>
    <t xml:space="preserve">                 владельцев квартир дома № 30, корпус 1 по улице Коммуны (Санкт-Петербург).</t>
  </si>
  <si>
    <t>№№</t>
  </si>
  <si>
    <t>Вид платежа</t>
  </si>
  <si>
    <t>Единица
измерения</t>
  </si>
  <si>
    <t>Тариф действующий</t>
  </si>
  <si>
    <t>Тариф новый</t>
  </si>
  <si>
    <t>Отклонение, руб./кв.м.</t>
  </si>
  <si>
    <t>Отклонение, %</t>
  </si>
  <si>
    <t>I</t>
  </si>
  <si>
    <t>СОДЕРЖАНИЕ И РЕМОНТ ЖИЛОГО ПОМЕЩЕНИЯ</t>
  </si>
  <si>
    <t xml:space="preserve">Содержание общего имущества в многоквартирном доме </t>
  </si>
  <si>
    <t>р/м2</t>
  </si>
  <si>
    <t>Текущий ремонт общего имущества в многоквартином доме</t>
  </si>
  <si>
    <t>Очистка мусоропроводов</t>
  </si>
  <si>
    <t>Уборка мест общего пользования</t>
  </si>
  <si>
    <t>Санитарное содержание придомовой территории</t>
  </si>
  <si>
    <t>Эксплуатация коллективных приборов учета тепловой энергии, холодной воды и эл/энергии</t>
  </si>
  <si>
    <t xml:space="preserve">Обслуживание переговорно-замочного устройства </t>
  </si>
  <si>
    <t>Обслуживание, освидетельствование, страхование лифтов</t>
  </si>
  <si>
    <t>Управление многоквартирным домом, в т.ч.:</t>
  </si>
  <si>
    <t>Управление многоквартирным домом</t>
  </si>
  <si>
    <t>Ведение бухгалтерии и хозяйственной 
деятельности  ТСЖ</t>
  </si>
  <si>
    <t>Банковское обслуживание</t>
  </si>
  <si>
    <t>Услуги телефонной связи</t>
  </si>
  <si>
    <t>Аварийно-диспетчерская служба</t>
  </si>
  <si>
    <t>Резервный фонд</t>
  </si>
  <si>
    <t xml:space="preserve">ПРЕЙСКУРАНТ </t>
  </si>
  <si>
    <t xml:space="preserve">                 </t>
  </si>
  <si>
    <r>
      <t xml:space="preserve">владельцев </t>
    </r>
    <r>
      <rPr>
        <b/>
        <u/>
        <sz val="10"/>
        <rFont val="Times New Roman"/>
      </rPr>
      <t>нежилых</t>
    </r>
    <r>
      <rPr>
        <b/>
        <sz val="10"/>
        <rFont val="Times New Roman"/>
      </rPr>
      <t xml:space="preserve"> помещений дома № 30, корпус 1 по улице Коммуны (Санкт-Петербург).</t>
    </r>
  </si>
  <si>
    <t>СОДЕРЖАНИЕ И РЕМОНТ НЕЖИЛОГО ПОМЕЩЕНИЯ</t>
  </si>
  <si>
    <t>Текущий ремонт общего имущества в многоквартиных домах</t>
  </si>
  <si>
    <t xml:space="preserve">
Управление многоквартирным домом, в т.ч.:
 </t>
  </si>
  <si>
    <t>ТСЖ Ладожское</t>
  </si>
  <si>
    <t>Номенклатурные группы</t>
  </si>
  <si>
    <t>Доходы общие, руб.</t>
  </si>
  <si>
    <t>Расходы общие, руб.</t>
  </si>
  <si>
    <t>Чистая прибыль, руб.</t>
  </si>
  <si>
    <t>Рентабельность, %</t>
  </si>
  <si>
    <t>Доходы жилья, руб.</t>
  </si>
  <si>
    <t>Расходы жилья, руб.</t>
  </si>
  <si>
    <t>Тариф по доходам, руб./м2</t>
  </si>
  <si>
    <t>Тариф по расходам, руб./м2</t>
  </si>
  <si>
    <t>Отклонение, руб./м2</t>
  </si>
  <si>
    <t>Доходы нежилья, руб.</t>
  </si>
  <si>
    <t>Расходы нежилья, руб.</t>
  </si>
  <si>
    <t>Содержание общего имущества многоквартирного дома</t>
  </si>
  <si>
    <t>Текущий ремонт общего имущества многоквартирного дома</t>
  </si>
  <si>
    <t>Площадь, руб./м2</t>
  </si>
  <si>
    <t>Очистка мусоропровода</t>
  </si>
  <si>
    <t>жилье</t>
  </si>
  <si>
    <t>Уборка лестничных клеток</t>
  </si>
  <si>
    <t>нежилье</t>
  </si>
  <si>
    <t>паркинг</t>
  </si>
  <si>
    <t>Обслуживание и текущий ремонт тепловых систем</t>
  </si>
  <si>
    <t>Обслуживание и текущий ремонт слаботочных систем</t>
  </si>
  <si>
    <t>Обслуживание, освидетельствование, страхование  лифтов</t>
  </si>
  <si>
    <t>Вывоз твердого бытового мусора и утилизация отходов</t>
  </si>
  <si>
    <t xml:space="preserve">Управление многоквартирным домом </t>
  </si>
  <si>
    <t>Итого</t>
  </si>
  <si>
    <t>Площадь:</t>
  </si>
  <si>
    <t>Статья расходов</t>
  </si>
  <si>
    <t xml:space="preserve">Должность  </t>
  </si>
  <si>
    <t>Кол-во</t>
  </si>
  <si>
    <t>ФОТ 1 человека, руб.</t>
  </si>
  <si>
    <t>ФОТ, руб.</t>
  </si>
  <si>
    <t xml:space="preserve">Резерв отпусков, руб.
</t>
  </si>
  <si>
    <t>ФОТ_итого, руб.</t>
  </si>
  <si>
    <t>Страховые взносы, руб.</t>
  </si>
  <si>
    <t>Канцтовары, материалы, руб.</t>
  </si>
  <si>
    <t>Спецодежда, руб.</t>
  </si>
  <si>
    <t>Обучение, руб.</t>
  </si>
  <si>
    <t>Услуги сторонних орг-ций, руб.</t>
  </si>
  <si>
    <t xml:space="preserve">ИТОГО 
РАСХОДЫ, руб. </t>
  </si>
  <si>
    <t>Налог при УСН, руб.</t>
  </si>
  <si>
    <t>Рентабельность 10%, руб.</t>
  </si>
  <si>
    <t>Тариф_проект, руб./м2</t>
  </si>
  <si>
    <t>Тариф действующий, руб./м2</t>
  </si>
  <si>
    <t>Содержание общего имущества</t>
  </si>
  <si>
    <t>Управляющий</t>
  </si>
  <si>
    <t>Электромонтер по ремонту и обслуживанию электрооборудования</t>
  </si>
  <si>
    <t>Слесарь-сантехник</t>
  </si>
  <si>
    <t>Дворник-разнорабочий</t>
  </si>
  <si>
    <t>Уборщик МОП</t>
  </si>
  <si>
    <t>Распоряжение Комитета по тарифам СПб № 145-р от 16.12.2022 (с 01.01.2023 по 30.06.2023)</t>
  </si>
  <si>
    <t>Площадь, м2:</t>
  </si>
  <si>
    <t>кол-во лифтов</t>
  </si>
  <si>
    <t>этажность</t>
  </si>
  <si>
    <t>грузоподъемность</t>
  </si>
  <si>
    <t>скорость движения</t>
  </si>
  <si>
    <t>Лифт пассажирский</t>
  </si>
  <si>
    <t>автостоянка</t>
  </si>
  <si>
    <t>Площадь первых этажей, м2</t>
  </si>
  <si>
    <t>Лифты пассажирские - грузоподъемность 400 кг, этажность 10</t>
  </si>
  <si>
    <t>Базовая ставка, руб./лифт</t>
  </si>
  <si>
    <t>Коф-т</t>
  </si>
  <si>
    <t xml:space="preserve">Кол-во лифтов в доме </t>
  </si>
  <si>
    <t>Этажность</t>
  </si>
  <si>
    <t>Тех.обслуживание лифтов, включая ежегодное страхование, диагностику, руб.</t>
  </si>
  <si>
    <t>Итого стоимость обслуживания лифтов, страхование, диагностика, руб.</t>
  </si>
  <si>
    <t>Тариф, руб./м2</t>
  </si>
  <si>
    <t>Объект</t>
  </si>
  <si>
    <t>Фирма, обслуживающая лифтовое оборудование</t>
  </si>
  <si>
    <t>Количество лифтов</t>
  </si>
  <si>
    <t>Доходы по действующим тарифам, руб.</t>
  </si>
  <si>
    <t>Расходы действующие, руб., в т.ч.:</t>
  </si>
  <si>
    <t>Отклонение, руб.</t>
  </si>
  <si>
    <t>Доходы по новым тарифам, руб.</t>
  </si>
  <si>
    <t>Расходы новые, руб.</t>
  </si>
  <si>
    <t>Т/о</t>
  </si>
  <si>
    <t>Диагностика</t>
  </si>
  <si>
    <t>Страхование</t>
  </si>
  <si>
    <t>Т/о, с подъемниками</t>
  </si>
  <si>
    <t>Ладожское</t>
  </si>
  <si>
    <t>Интеграл</t>
  </si>
  <si>
    <t>Управление многоквартирным домом:</t>
  </si>
  <si>
    <t>Расходы, руб.</t>
  </si>
  <si>
    <t xml:space="preserve">ООО УК "Космосервис"                                                             </t>
  </si>
  <si>
    <t>ООО "Илюзара СПб", Компания Тензор, Корус-Консалтинг</t>
  </si>
  <si>
    <t>ИП Ахмедов, ИП Толстобров</t>
  </si>
  <si>
    <t>ПАО "Ингосстрах"</t>
  </si>
  <si>
    <t>Северо-Западный банк ПАО "Сбербанк"</t>
  </si>
  <si>
    <t>ООО "Смарт Телеком"</t>
  </si>
  <si>
    <t>Обслуживание тепловых систем:</t>
  </si>
  <si>
    <t xml:space="preserve">ООО УК "Космосервис" </t>
  </si>
  <si>
    <t>Обслуживание слаботочных систем:</t>
  </si>
  <si>
    <t xml:space="preserve">ООО УК "Космосервис"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</si>
</sst>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42">
    <font>
      <sz val="10"/>
      <color theme="1"/>
      <name val="Arial"/>
    </font>
    <font>
      <sz val="10"/>
      <color indexed="64"/>
      <name val="Arial"/>
    </font>
    <font>
      <sz val="11"/>
      <color theme="1"/>
      <name val="Calibri"/>
      <scheme val="minor"/>
    </font>
    <font>
      <sz val="10"/>
      <name val="Arial"/>
    </font>
    <font>
      <sz val="10"/>
      <name val="Arial Cyr"/>
    </font>
    <font>
      <sz val="10"/>
      <color indexed="64"/>
      <name val="Arial Cyr"/>
    </font>
    <font>
      <sz val="11"/>
      <color indexed="64"/>
      <name val="Calibri"/>
    </font>
    <font>
      <sz val="10"/>
      <name val="Helv"/>
    </font>
    <font>
      <sz val="11"/>
      <name val="Arial Cyr"/>
    </font>
    <font>
      <sz val="11"/>
      <name val="Times New Roman"/>
    </font>
    <font>
      <b/>
      <sz val="11"/>
      <name val="Times New Roman"/>
    </font>
    <font>
      <i/>
      <sz val="11"/>
      <name val="Arial Cyr"/>
    </font>
    <font>
      <i/>
      <sz val="11"/>
      <name val="Times New Roman"/>
    </font>
    <font>
      <i/>
      <sz val="10"/>
      <name val="Times New Roman"/>
    </font>
    <font>
      <sz val="10"/>
      <name val="Times New Roman"/>
    </font>
    <font>
      <sz val="8"/>
      <name val="Arial Cyr"/>
    </font>
    <font>
      <b/>
      <sz val="10"/>
      <name val="Times New Roman"/>
    </font>
    <font>
      <b/>
      <sz val="12"/>
      <name val="Times New Roman"/>
    </font>
    <font>
      <sz val="11"/>
      <color theme="1"/>
      <name val="Times New Roman"/>
    </font>
    <font>
      <sz val="11"/>
      <color indexed="2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b/>
      <sz val="9"/>
      <color theme="1"/>
      <name val="Times New Roman"/>
    </font>
    <font>
      <sz val="9"/>
      <color theme="1"/>
      <name val="Times New Roman"/>
    </font>
    <font>
      <sz val="10"/>
      <color theme="1"/>
      <name val="Times New Roman"/>
    </font>
    <font>
      <b/>
      <sz val="10"/>
      <color theme="1"/>
      <name val="Times New Roman"/>
    </font>
    <font>
      <sz val="9"/>
      <name val="Calibri"/>
      <scheme val="minor"/>
    </font>
    <font>
      <b/>
      <sz val="9"/>
      <name val="Times New Roman"/>
    </font>
    <font>
      <sz val="9"/>
      <name val="Times New Roman"/>
    </font>
    <font>
      <b/>
      <sz val="9"/>
      <name val="Calibri"/>
      <scheme val="minor"/>
    </font>
    <font>
      <sz val="11"/>
      <name val="Calibri"/>
      <scheme val="minor"/>
    </font>
    <font>
      <sz val="9"/>
      <color theme="1"/>
      <name val="Calibri"/>
      <scheme val="minor"/>
    </font>
    <font>
      <sz val="10"/>
      <color indexed="64"/>
      <name val="Times New Roman"/>
    </font>
    <font>
      <i/>
      <sz val="9"/>
      <name val="Times New Roman"/>
    </font>
    <font>
      <b/>
      <sz val="10"/>
      <name val="Arial Cyr"/>
    </font>
    <font>
      <b/>
      <i/>
      <sz val="9"/>
      <name val="Times New Roman"/>
    </font>
    <font>
      <b/>
      <u/>
      <sz val="10"/>
      <name val="Times New Roman"/>
    </font>
    <font>
      <sz val="14"/>
      <name val="Times New Roman"/>
      <family val="1"/>
      <charset val="204"/>
    </font>
    <font>
      <sz val="14"/>
      <name val="Arial Cyr"/>
      <charset val="204"/>
    </font>
    <font>
      <b/>
      <i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theme="0"/>
      </patternFill>
    </fill>
    <fill>
      <patternFill patternType="solid">
        <fgColor indexed="5"/>
        <bgColor indexed="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7" tint="0.79998168889431442"/>
        <bgColor theme="7" tint="0.79998168889431442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theme="1"/>
      </right>
      <top style="medium">
        <color auto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medium">
        <color auto="1"/>
      </top>
      <bottom style="hair">
        <color theme="1"/>
      </bottom>
      <diagonal/>
    </border>
    <border>
      <left style="hair">
        <color theme="1"/>
      </left>
      <right/>
      <top style="medium">
        <color auto="1"/>
      </top>
      <bottom style="hair">
        <color theme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0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164" fontId="4" fillId="0" borderId="0" applyFont="0" applyFill="0" applyBorder="0" applyProtection="0"/>
    <xf numFmtId="164" fontId="4" fillId="0" borderId="0" applyFont="0" applyFill="0" applyBorder="0" applyProtection="0"/>
    <xf numFmtId="164" fontId="4" fillId="0" borderId="0" applyFont="0" applyFill="0" applyBorder="0" applyProtection="0"/>
    <xf numFmtId="164" fontId="6" fillId="0" borderId="0" applyFont="0" applyFill="0" applyBorder="0" applyProtection="0"/>
    <xf numFmtId="164" fontId="6" fillId="0" borderId="0" applyFont="0" applyFill="0" applyBorder="0" applyProtection="0"/>
  </cellStyleXfs>
  <cellXfs count="257">
    <xf numFmtId="0" fontId="0" fillId="0" borderId="0" xfId="0"/>
    <xf numFmtId="0" fontId="8" fillId="0" borderId="0" xfId="10" applyFont="1"/>
    <xf numFmtId="0" fontId="9" fillId="0" borderId="0" xfId="10" applyFont="1"/>
    <xf numFmtId="0" fontId="8" fillId="0" borderId="0" xfId="10" applyFont="1" applyAlignment="1">
      <alignment vertical="center"/>
    </xf>
    <xf numFmtId="0" fontId="10" fillId="0" borderId="1" xfId="13" applyFont="1" applyBorder="1" applyAlignment="1">
      <alignment horizontal="center" vertical="center" wrapText="1"/>
    </xf>
    <xf numFmtId="0" fontId="10" fillId="2" borderId="1" xfId="10" applyFont="1" applyFill="1" applyBorder="1" applyAlignment="1">
      <alignment horizontal="center" vertical="center"/>
    </xf>
    <xf numFmtId="0" fontId="9" fillId="3" borderId="1" xfId="10" applyFont="1" applyFill="1" applyBorder="1" applyAlignment="1">
      <alignment horizontal="center" vertical="center"/>
    </xf>
    <xf numFmtId="0" fontId="9" fillId="3" borderId="1" xfId="10" applyFont="1" applyFill="1" applyBorder="1" applyAlignment="1">
      <alignment horizontal="left" vertical="center" wrapText="1"/>
    </xf>
    <xf numFmtId="0" fontId="9" fillId="0" borderId="1" xfId="10" applyFont="1" applyBorder="1" applyAlignment="1">
      <alignment horizontal="center" vertical="center"/>
    </xf>
    <xf numFmtId="2" fontId="9" fillId="4" borderId="1" xfId="10" applyNumberFormat="1" applyFont="1" applyFill="1" applyBorder="1" applyAlignment="1">
      <alignment horizontal="center" vertical="center"/>
    </xf>
    <xf numFmtId="0" fontId="9" fillId="3" borderId="1" xfId="10" applyFont="1" applyFill="1" applyBorder="1" applyAlignment="1">
      <alignment horizontal="left" vertical="center"/>
    </xf>
    <xf numFmtId="2" fontId="9" fillId="0" borderId="1" xfId="10" applyNumberFormat="1" applyFont="1" applyBorder="1" applyAlignment="1">
      <alignment horizontal="center" vertical="center"/>
    </xf>
    <xf numFmtId="0" fontId="11" fillId="0" borderId="0" xfId="10" applyFont="1" applyAlignment="1">
      <alignment vertical="center"/>
    </xf>
    <xf numFmtId="0" fontId="12" fillId="0" borderId="1" xfId="10" applyFont="1" applyBorder="1" applyAlignment="1">
      <alignment horizontal="center" vertical="center"/>
    </xf>
    <xf numFmtId="0" fontId="14" fillId="0" borderId="1" xfId="10" applyFont="1" applyBorder="1" applyAlignment="1">
      <alignment horizontal="center" vertical="center"/>
    </xf>
    <xf numFmtId="0" fontId="4" fillId="0" borderId="0" xfId="10" applyFont="1"/>
    <xf numFmtId="0" fontId="4" fillId="0" borderId="0" xfId="10" applyFont="1" applyAlignment="1">
      <alignment horizontal="center"/>
    </xf>
    <xf numFmtId="0" fontId="4" fillId="3" borderId="0" xfId="10" applyFont="1" applyFill="1"/>
    <xf numFmtId="0" fontId="15" fillId="0" borderId="0" xfId="10" applyFont="1"/>
    <xf numFmtId="0" fontId="14" fillId="0" borderId="0" xfId="10" applyFont="1"/>
    <xf numFmtId="0" fontId="14" fillId="0" borderId="0" xfId="10" applyFont="1" applyAlignment="1">
      <alignment horizontal="center"/>
    </xf>
    <xf numFmtId="0" fontId="15" fillId="3" borderId="0" xfId="10" applyFont="1" applyFill="1"/>
    <xf numFmtId="0" fontId="10" fillId="3" borderId="1" xfId="10" applyFont="1" applyFill="1" applyBorder="1" applyAlignment="1">
      <alignment horizontal="center"/>
    </xf>
    <xf numFmtId="0" fontId="10" fillId="3" borderId="1" xfId="10" applyFont="1" applyFill="1" applyBorder="1" applyAlignment="1">
      <alignment horizontal="center" vertical="center"/>
    </xf>
    <xf numFmtId="0" fontId="10" fillId="3" borderId="1" xfId="10" applyFont="1" applyFill="1" applyBorder="1" applyAlignment="1">
      <alignment horizontal="center" vertical="center" wrapText="1"/>
    </xf>
    <xf numFmtId="0" fontId="17" fillId="2" borderId="1" xfId="1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2" fontId="10" fillId="2" borderId="1" xfId="10" applyNumberFormat="1" applyFont="1" applyFill="1" applyBorder="1" applyAlignment="1">
      <alignment horizontal="center" vertical="center" wrapText="1"/>
    </xf>
    <xf numFmtId="0" fontId="9" fillId="3" borderId="1" xfId="10" applyFont="1" applyFill="1" applyBorder="1" applyAlignment="1">
      <alignment vertical="center" wrapText="1"/>
    </xf>
    <xf numFmtId="0" fontId="12" fillId="3" borderId="1" xfId="10" applyFont="1" applyFill="1" applyBorder="1" applyAlignment="1">
      <alignment vertical="center"/>
    </xf>
    <xf numFmtId="0" fontId="12" fillId="3" borderId="1" xfId="10" applyFont="1" applyFill="1" applyBorder="1" applyAlignment="1">
      <alignment horizontal="center" vertical="center"/>
    </xf>
    <xf numFmtId="2" fontId="13" fillId="0" borderId="1" xfId="10" applyNumberFormat="1" applyFont="1" applyBorder="1" applyAlignment="1">
      <alignment horizontal="center" vertical="center"/>
    </xf>
    <xf numFmtId="0" fontId="12" fillId="0" borderId="1" xfId="10" applyFont="1" applyBorder="1" applyAlignment="1">
      <alignment vertical="center" wrapText="1"/>
    </xf>
    <xf numFmtId="0" fontId="12" fillId="0" borderId="1" xfId="10" applyFont="1" applyBorder="1" applyAlignment="1">
      <alignment vertical="center"/>
    </xf>
    <xf numFmtId="0" fontId="13" fillId="0" borderId="1" xfId="10" applyFont="1" applyBorder="1" applyAlignment="1">
      <alignment horizontal="center" vertical="center"/>
    </xf>
    <xf numFmtId="0" fontId="9" fillId="0" borderId="1" xfId="10" applyFont="1" applyBorder="1" applyAlignment="1">
      <alignment vertical="center"/>
    </xf>
    <xf numFmtId="2" fontId="9" fillId="3" borderId="1" xfId="10" applyNumberFormat="1" applyFont="1" applyFill="1" applyBorder="1" applyAlignment="1">
      <alignment horizontal="center" vertical="center"/>
    </xf>
    <xf numFmtId="0" fontId="4" fillId="0" borderId="0" xfId="8" applyFont="1"/>
    <xf numFmtId="0" fontId="18" fillId="0" borderId="0" xfId="8" applyFont="1"/>
    <xf numFmtId="0" fontId="19" fillId="0" borderId="0" xfId="8" applyFont="1"/>
    <xf numFmtId="0" fontId="20" fillId="0" borderId="0" xfId="8" applyFont="1" applyAlignment="1">
      <alignment horizontal="center" vertical="center"/>
    </xf>
    <xf numFmtId="0" fontId="18" fillId="0" borderId="2" xfId="8" applyFont="1" applyBorder="1" applyAlignment="1">
      <alignment horizontal="center" vertical="center"/>
    </xf>
    <xf numFmtId="0" fontId="18" fillId="0" borderId="3" xfId="8" applyFont="1" applyBorder="1" applyAlignment="1">
      <alignment horizontal="center" vertical="center" wrapText="1"/>
    </xf>
    <xf numFmtId="0" fontId="18" fillId="0" borderId="4" xfId="8" applyFont="1" applyBorder="1" applyAlignment="1">
      <alignment horizontal="center" vertical="center" wrapText="1"/>
    </xf>
    <xf numFmtId="0" fontId="18" fillId="0" borderId="0" xfId="8" applyFont="1" applyAlignment="1">
      <alignment horizontal="center" vertical="center" wrapText="1"/>
    </xf>
    <xf numFmtId="0" fontId="18" fillId="0" borderId="5" xfId="9" applyFont="1" applyBorder="1" applyAlignment="1">
      <alignment horizontal="center" vertical="center" wrapText="1"/>
    </xf>
    <xf numFmtId="0" fontId="18" fillId="0" borderId="6" xfId="9" applyFont="1" applyBorder="1" applyAlignment="1">
      <alignment horizontal="center" vertical="center" wrapText="1"/>
    </xf>
    <xf numFmtId="0" fontId="18" fillId="0" borderId="7" xfId="9" applyFont="1" applyBorder="1" applyAlignment="1">
      <alignment horizontal="center" vertical="center" wrapText="1"/>
    </xf>
    <xf numFmtId="0" fontId="18" fillId="0" borderId="2" xfId="9" applyFont="1" applyBorder="1" applyAlignment="1">
      <alignment horizontal="center" vertical="center" wrapText="1"/>
    </xf>
    <xf numFmtId="0" fontId="18" fillId="0" borderId="3" xfId="9" applyFont="1" applyBorder="1" applyAlignment="1">
      <alignment horizontal="center" vertical="center" wrapText="1"/>
    </xf>
    <xf numFmtId="0" fontId="18" fillId="0" borderId="4" xfId="9" applyFont="1" applyBorder="1" applyAlignment="1">
      <alignment horizontal="center" vertical="center" wrapText="1"/>
    </xf>
    <xf numFmtId="0" fontId="4" fillId="0" borderId="0" xfId="8" applyFont="1" applyAlignment="1">
      <alignment vertical="center"/>
    </xf>
    <xf numFmtId="0" fontId="14" fillId="0" borderId="8" xfId="12" applyFont="1" applyBorder="1" applyAlignment="1">
      <alignment vertical="center"/>
    </xf>
    <xf numFmtId="3" fontId="18" fillId="0" borderId="9" xfId="8" applyNumberFormat="1" applyFont="1" applyBorder="1" applyAlignment="1">
      <alignment horizontal="center" vertical="center"/>
    </xf>
    <xf numFmtId="4" fontId="18" fillId="0" borderId="10" xfId="8" applyNumberFormat="1" applyFont="1" applyBorder="1" applyAlignment="1">
      <alignment horizontal="center" vertical="center"/>
    </xf>
    <xf numFmtId="4" fontId="18" fillId="0" borderId="0" xfId="8" applyNumberFormat="1" applyFont="1" applyAlignment="1">
      <alignment horizontal="center" vertical="center"/>
    </xf>
    <xf numFmtId="3" fontId="18" fillId="0" borderId="8" xfId="8" applyNumberFormat="1" applyFont="1" applyBorder="1" applyAlignment="1">
      <alignment horizontal="center" vertical="center"/>
    </xf>
    <xf numFmtId="4" fontId="18" fillId="0" borderId="11" xfId="8" applyNumberFormat="1" applyFont="1" applyBorder="1" applyAlignment="1">
      <alignment horizontal="center" vertical="center"/>
    </xf>
    <xf numFmtId="4" fontId="18" fillId="0" borderId="8" xfId="8" applyNumberFormat="1" applyFont="1" applyBorder="1" applyAlignment="1">
      <alignment horizontal="center" vertical="center"/>
    </xf>
    <xf numFmtId="4" fontId="18" fillId="0" borderId="9" xfId="8" applyNumberFormat="1" applyFont="1" applyBorder="1" applyAlignment="1">
      <alignment horizontal="center" vertical="center"/>
    </xf>
    <xf numFmtId="0" fontId="19" fillId="0" borderId="0" xfId="8" applyFont="1" applyAlignment="1">
      <alignment vertical="center"/>
    </xf>
    <xf numFmtId="0" fontId="18" fillId="0" borderId="0" xfId="8" applyFont="1" applyAlignment="1">
      <alignment vertical="center"/>
    </xf>
    <xf numFmtId="3" fontId="9" fillId="0" borderId="9" xfId="8" applyNumberFormat="1" applyFont="1" applyBorder="1" applyAlignment="1">
      <alignment horizontal="center" vertical="center"/>
    </xf>
    <xf numFmtId="0" fontId="16" fillId="0" borderId="12" xfId="4" applyFont="1" applyBorder="1" applyAlignment="1">
      <alignment vertical="center" wrapText="1"/>
    </xf>
    <xf numFmtId="3" fontId="21" fillId="0" borderId="13" xfId="8" applyNumberFormat="1" applyFont="1" applyBorder="1" applyAlignment="1">
      <alignment horizontal="center" vertical="center"/>
    </xf>
    <xf numFmtId="4" fontId="21" fillId="0" borderId="14" xfId="8" applyNumberFormat="1" applyFont="1" applyBorder="1" applyAlignment="1">
      <alignment horizontal="center" vertical="center"/>
    </xf>
    <xf numFmtId="4" fontId="21" fillId="0" borderId="0" xfId="8" applyNumberFormat="1" applyFont="1" applyAlignment="1">
      <alignment horizontal="center" vertical="center"/>
    </xf>
    <xf numFmtId="3" fontId="21" fillId="0" borderId="12" xfId="8" applyNumberFormat="1" applyFont="1" applyBorder="1" applyAlignment="1">
      <alignment horizontal="center" vertical="center"/>
    </xf>
    <xf numFmtId="4" fontId="21" fillId="0" borderId="15" xfId="8" applyNumberFormat="1" applyFont="1" applyBorder="1" applyAlignment="1">
      <alignment horizontal="center" vertical="center"/>
    </xf>
    <xf numFmtId="4" fontId="21" fillId="0" borderId="12" xfId="8" applyNumberFormat="1" applyFont="1" applyBorder="1" applyAlignment="1">
      <alignment horizontal="center" vertical="center"/>
    </xf>
    <xf numFmtId="4" fontId="21" fillId="0" borderId="13" xfId="8" applyNumberFormat="1" applyFont="1" applyBorder="1" applyAlignment="1">
      <alignment horizontal="center" vertical="center"/>
    </xf>
    <xf numFmtId="0" fontId="2" fillId="0" borderId="0" xfId="2" applyFont="1"/>
    <xf numFmtId="0" fontId="18" fillId="0" borderId="0" xfId="2" applyFont="1"/>
    <xf numFmtId="0" fontId="22" fillId="0" borderId="0" xfId="2" applyFont="1"/>
    <xf numFmtId="0" fontId="23" fillId="0" borderId="0" xfId="2" applyFont="1" applyAlignment="1">
      <alignment horizontal="center" vertical="center" wrapText="1"/>
    </xf>
    <xf numFmtId="0" fontId="23" fillId="0" borderId="0" xfId="2" applyFont="1"/>
    <xf numFmtId="4" fontId="23" fillId="0" borderId="0" xfId="2" applyNumberFormat="1" applyFont="1" applyAlignment="1">
      <alignment horizontal="left"/>
    </xf>
    <xf numFmtId="4" fontId="23" fillId="0" borderId="0" xfId="2" applyNumberFormat="1" applyFont="1"/>
    <xf numFmtId="4" fontId="22" fillId="0" borderId="0" xfId="2" applyNumberFormat="1" applyFont="1" applyAlignment="1">
      <alignment horizontal="left"/>
    </xf>
    <xf numFmtId="0" fontId="24" fillId="0" borderId="0" xfId="2" applyFont="1"/>
    <xf numFmtId="4" fontId="25" fillId="0" borderId="0" xfId="2" applyNumberFormat="1" applyFont="1"/>
    <xf numFmtId="3" fontId="24" fillId="0" borderId="0" xfId="2" applyNumberFormat="1" applyFont="1"/>
    <xf numFmtId="0" fontId="21" fillId="0" borderId="0" xfId="2" applyFont="1"/>
    <xf numFmtId="0" fontId="26" fillId="0" borderId="0" xfId="12" applyFont="1"/>
    <xf numFmtId="0" fontId="27" fillId="0" borderId="16" xfId="12" applyFont="1" applyBorder="1" applyAlignment="1">
      <alignment horizontal="center" vertical="center" wrapText="1"/>
    </xf>
    <xf numFmtId="0" fontId="27" fillId="0" borderId="17" xfId="12" applyFont="1" applyBorder="1" applyAlignment="1">
      <alignment horizontal="center" vertical="center"/>
    </xf>
    <xf numFmtId="0" fontId="27" fillId="0" borderId="17" xfId="12" applyFont="1" applyBorder="1" applyAlignment="1">
      <alignment horizontal="center" vertical="center" wrapText="1"/>
    </xf>
    <xf numFmtId="3" fontId="27" fillId="0" borderId="17" xfId="12" applyNumberFormat="1" applyFont="1" applyBorder="1" applyAlignment="1">
      <alignment horizontal="center" vertical="center" wrapText="1"/>
    </xf>
    <xf numFmtId="3" fontId="27" fillId="5" borderId="17" xfId="12" applyNumberFormat="1" applyFont="1" applyFill="1" applyBorder="1" applyAlignment="1">
      <alignment horizontal="center" vertical="center" wrapText="1"/>
    </xf>
    <xf numFmtId="3" fontId="27" fillId="0" borderId="18" xfId="12" applyNumberFormat="1" applyFont="1" applyBorder="1" applyAlignment="1">
      <alignment horizontal="center" vertical="center" wrapText="1"/>
    </xf>
    <xf numFmtId="0" fontId="28" fillId="0" borderId="0" xfId="12" applyFont="1"/>
    <xf numFmtId="3" fontId="28" fillId="0" borderId="19" xfId="12" applyNumberFormat="1" applyFont="1" applyBorder="1" applyAlignment="1">
      <alignment horizontal="center"/>
    </xf>
    <xf numFmtId="3" fontId="28" fillId="0" borderId="20" xfId="12" applyNumberFormat="1" applyFont="1" applyBorder="1" applyAlignment="1">
      <alignment horizontal="center"/>
    </xf>
    <xf numFmtId="4" fontId="28" fillId="5" borderId="20" xfId="12" applyNumberFormat="1" applyFont="1" applyFill="1" applyBorder="1" applyAlignment="1">
      <alignment horizontal="center"/>
    </xf>
    <xf numFmtId="4" fontId="28" fillId="0" borderId="20" xfId="12" applyNumberFormat="1" applyFont="1" applyBorder="1" applyAlignment="1">
      <alignment horizontal="center"/>
    </xf>
    <xf numFmtId="4" fontId="28" fillId="0" borderId="21" xfId="12" applyNumberFormat="1" applyFont="1" applyBorder="1" applyAlignment="1">
      <alignment horizontal="center"/>
    </xf>
    <xf numFmtId="0" fontId="26" fillId="0" borderId="0" xfId="12" applyFont="1" applyAlignment="1">
      <alignment vertical="center"/>
    </xf>
    <xf numFmtId="3" fontId="28" fillId="0" borderId="23" xfId="12" applyNumberFormat="1" applyFont="1" applyBorder="1" applyAlignment="1">
      <alignment horizontal="center" vertical="center"/>
    </xf>
    <xf numFmtId="0" fontId="28" fillId="0" borderId="0" xfId="12" applyFont="1" applyAlignment="1">
      <alignment vertical="center"/>
    </xf>
    <xf numFmtId="3" fontId="28" fillId="0" borderId="9" xfId="12" applyNumberFormat="1" applyFont="1" applyBorder="1" applyAlignment="1">
      <alignment horizontal="center" vertical="center" wrapText="1"/>
    </xf>
    <xf numFmtId="3" fontId="28" fillId="0" borderId="9" xfId="12" applyNumberFormat="1" applyFont="1" applyBorder="1" applyAlignment="1">
      <alignment horizontal="center" vertical="center"/>
    </xf>
    <xf numFmtId="3" fontId="28" fillId="0" borderId="27" xfId="12" applyNumberFormat="1" applyFont="1" applyBorder="1" applyAlignment="1">
      <alignment horizontal="center" vertical="center"/>
    </xf>
    <xf numFmtId="3" fontId="28" fillId="0" borderId="20" xfId="12" applyNumberFormat="1" applyFont="1" applyBorder="1" applyAlignment="1">
      <alignment horizontal="center" vertical="center"/>
    </xf>
    <xf numFmtId="3" fontId="28" fillId="0" borderId="30" xfId="12" applyNumberFormat="1" applyFont="1" applyBorder="1" applyAlignment="1">
      <alignment horizontal="center" vertical="center"/>
    </xf>
    <xf numFmtId="3" fontId="28" fillId="0" borderId="19" xfId="12" applyNumberFormat="1" applyFont="1" applyBorder="1" applyAlignment="1">
      <alignment horizontal="center" vertical="center" wrapText="1"/>
    </xf>
    <xf numFmtId="4" fontId="28" fillId="5" borderId="20" xfId="12" applyNumberFormat="1" applyFont="1" applyFill="1" applyBorder="1" applyAlignment="1">
      <alignment horizontal="center" vertical="center"/>
    </xf>
    <xf numFmtId="4" fontId="28" fillId="0" borderId="20" xfId="12" applyNumberFormat="1" applyFont="1" applyBorder="1" applyAlignment="1">
      <alignment horizontal="center" vertical="center"/>
    </xf>
    <xf numFmtId="4" fontId="28" fillId="0" borderId="21" xfId="12" applyNumberFormat="1" applyFont="1" applyBorder="1" applyAlignment="1">
      <alignment horizontal="center" vertical="center"/>
    </xf>
    <xf numFmtId="3" fontId="28" fillId="0" borderId="33" xfId="12" applyNumberFormat="1" applyFont="1" applyBorder="1" applyAlignment="1">
      <alignment horizontal="center" vertical="center" wrapText="1"/>
    </xf>
    <xf numFmtId="4" fontId="28" fillId="5" borderId="27" xfId="12" applyNumberFormat="1" applyFont="1" applyFill="1" applyBorder="1" applyAlignment="1">
      <alignment horizontal="center" vertical="center"/>
    </xf>
    <xf numFmtId="4" fontId="28" fillId="0" borderId="27" xfId="12" applyNumberFormat="1" applyFont="1" applyBorder="1" applyAlignment="1">
      <alignment horizontal="center" vertical="center"/>
    </xf>
    <xf numFmtId="4" fontId="28" fillId="0" borderId="34" xfId="12" applyNumberFormat="1" applyFont="1" applyBorder="1" applyAlignment="1">
      <alignment horizontal="center" vertical="center"/>
    </xf>
    <xf numFmtId="0" fontId="29" fillId="0" borderId="0" xfId="12" applyFont="1"/>
    <xf numFmtId="3" fontId="27" fillId="0" borderId="29" xfId="12" applyNumberFormat="1" applyFont="1" applyBorder="1" applyAlignment="1">
      <alignment horizontal="center"/>
    </xf>
    <xf numFmtId="3" fontId="27" fillId="0" borderId="30" xfId="12" applyNumberFormat="1" applyFont="1" applyBorder="1" applyAlignment="1">
      <alignment horizontal="center"/>
    </xf>
    <xf numFmtId="4" fontId="27" fillId="5" borderId="30" xfId="12" applyNumberFormat="1" applyFont="1" applyFill="1" applyBorder="1" applyAlignment="1">
      <alignment horizontal="center"/>
    </xf>
    <xf numFmtId="4" fontId="27" fillId="0" borderId="30" xfId="12" applyNumberFormat="1" applyFont="1" applyBorder="1" applyAlignment="1">
      <alignment horizontal="center"/>
    </xf>
    <xf numFmtId="4" fontId="27" fillId="0" borderId="32" xfId="12" applyNumberFormat="1" applyFont="1" applyBorder="1" applyAlignment="1">
      <alignment horizontal="center"/>
    </xf>
    <xf numFmtId="0" fontId="27" fillId="0" borderId="0" xfId="12" applyFont="1"/>
    <xf numFmtId="0" fontId="30" fillId="0" borderId="0" xfId="2" applyFont="1"/>
    <xf numFmtId="0" fontId="9" fillId="0" borderId="0" xfId="2" applyFont="1"/>
    <xf numFmtId="0" fontId="31" fillId="0" borderId="0" xfId="2" applyFont="1"/>
    <xf numFmtId="0" fontId="25" fillId="0" borderId="0" xfId="2" applyFont="1"/>
    <xf numFmtId="4" fontId="24" fillId="0" borderId="0" xfId="2" applyNumberFormat="1" applyFont="1"/>
    <xf numFmtId="0" fontId="24" fillId="0" borderId="0" xfId="2" applyFont="1" applyAlignment="1">
      <alignment horizontal="center"/>
    </xf>
    <xf numFmtId="0" fontId="24" fillId="0" borderId="16" xfId="2" applyFont="1" applyBorder="1"/>
    <xf numFmtId="0" fontId="14" fillId="0" borderId="17" xfId="2" applyFont="1" applyBorder="1" applyAlignment="1">
      <alignment horizontal="center" vertical="center"/>
    </xf>
    <xf numFmtId="0" fontId="24" fillId="0" borderId="17" xfId="2" applyFont="1" applyBorder="1" applyAlignment="1">
      <alignment horizontal="center" vertical="center"/>
    </xf>
    <xf numFmtId="0" fontId="24" fillId="0" borderId="17" xfId="2" applyFont="1" applyBorder="1" applyAlignment="1">
      <alignment horizontal="center" vertical="center" wrapText="1"/>
    </xf>
    <xf numFmtId="0" fontId="24" fillId="0" borderId="18" xfId="2" applyFont="1" applyBorder="1" applyAlignment="1">
      <alignment horizontal="center" vertical="center" wrapText="1"/>
    </xf>
    <xf numFmtId="0" fontId="24" fillId="0" borderId="29" xfId="2" applyFont="1" applyBorder="1"/>
    <xf numFmtId="0" fontId="14" fillId="0" borderId="30" xfId="2" applyFont="1" applyBorder="1"/>
    <xf numFmtId="0" fontId="14" fillId="0" borderId="32" xfId="2" applyFont="1" applyBorder="1"/>
    <xf numFmtId="0" fontId="14" fillId="0" borderId="0" xfId="11" applyFont="1"/>
    <xf numFmtId="2" fontId="16" fillId="0" borderId="0" xfId="11" applyNumberFormat="1" applyFont="1"/>
    <xf numFmtId="2" fontId="14" fillId="0" borderId="0" xfId="11" applyNumberFormat="1" applyFont="1"/>
    <xf numFmtId="0" fontId="14" fillId="0" borderId="25" xfId="11" applyFont="1" applyBorder="1"/>
    <xf numFmtId="0" fontId="14" fillId="0" borderId="28" xfId="11" applyFont="1" applyBorder="1"/>
    <xf numFmtId="0" fontId="14" fillId="0" borderId="32" xfId="11" applyFont="1" applyBorder="1"/>
    <xf numFmtId="9" fontId="16" fillId="0" borderId="0" xfId="11" applyNumberFormat="1" applyFont="1"/>
    <xf numFmtId="0" fontId="14" fillId="6" borderId="16" xfId="11" applyFont="1" applyFill="1" applyBorder="1"/>
    <xf numFmtId="0" fontId="14" fillId="6" borderId="17" xfId="11" applyFont="1" applyFill="1" applyBorder="1"/>
    <xf numFmtId="4" fontId="14" fillId="6" borderId="18" xfId="11" applyNumberFormat="1" applyFont="1" applyFill="1" applyBorder="1"/>
    <xf numFmtId="0" fontId="14" fillId="0" borderId="0" xfId="11" applyFont="1" applyAlignment="1">
      <alignment horizontal="right"/>
    </xf>
    <xf numFmtId="4" fontId="14" fillId="0" borderId="0" xfId="11" applyNumberFormat="1" applyFont="1"/>
    <xf numFmtId="0" fontId="14" fillId="0" borderId="0" xfId="7" applyFont="1"/>
    <xf numFmtId="4" fontId="16" fillId="0" borderId="0" xfId="11" applyNumberFormat="1" applyFont="1"/>
    <xf numFmtId="0" fontId="16" fillId="0" borderId="0" xfId="7" applyFont="1"/>
    <xf numFmtId="0" fontId="14" fillId="0" borderId="0" xfId="7" applyFont="1" applyAlignment="1">
      <alignment horizontal="center"/>
    </xf>
    <xf numFmtId="0" fontId="32" fillId="0" borderId="0" xfId="5" applyFont="1"/>
    <xf numFmtId="0" fontId="16" fillId="0" borderId="0" xfId="11" applyFont="1"/>
    <xf numFmtId="0" fontId="18" fillId="0" borderId="0" xfId="6" applyFont="1"/>
    <xf numFmtId="0" fontId="25" fillId="0" borderId="0" xfId="6" applyFont="1" applyAlignment="1">
      <alignment horizontal="center" vertical="center"/>
    </xf>
    <xf numFmtId="0" fontId="25" fillId="0" borderId="30" xfId="6" applyFont="1" applyBorder="1" applyAlignment="1">
      <alignment horizontal="center" vertical="center" wrapText="1"/>
    </xf>
    <xf numFmtId="0" fontId="25" fillId="0" borderId="30" xfId="6" applyFont="1" applyBorder="1" applyAlignment="1">
      <alignment horizontal="center" vertical="center"/>
    </xf>
    <xf numFmtId="0" fontId="24" fillId="0" borderId="0" xfId="6" applyFont="1"/>
    <xf numFmtId="0" fontId="24" fillId="0" borderId="35" xfId="6" applyFont="1" applyBorder="1"/>
    <xf numFmtId="0" fontId="24" fillId="0" borderId="36" xfId="6" applyFont="1" applyBorder="1"/>
    <xf numFmtId="0" fontId="24" fillId="0" borderId="37" xfId="6" applyFont="1" applyBorder="1"/>
    <xf numFmtId="0" fontId="24" fillId="0" borderId="38" xfId="6" applyFont="1" applyBorder="1"/>
    <xf numFmtId="0" fontId="24" fillId="5" borderId="37" xfId="6" applyFont="1" applyFill="1" applyBorder="1"/>
    <xf numFmtId="0" fontId="24" fillId="0" borderId="26" xfId="6" applyFont="1" applyBorder="1"/>
    <xf numFmtId="0" fontId="24" fillId="0" borderId="39" xfId="6" applyFont="1" applyBorder="1"/>
    <xf numFmtId="3" fontId="24" fillId="0" borderId="9" xfId="6" applyNumberFormat="1" applyFont="1" applyBorder="1"/>
    <xf numFmtId="4" fontId="24" fillId="0" borderId="28" xfId="6" applyNumberFormat="1" applyFont="1" applyBorder="1"/>
    <xf numFmtId="3" fontId="24" fillId="0" borderId="26" xfId="6" applyNumberFormat="1" applyFont="1" applyBorder="1"/>
    <xf numFmtId="3" fontId="24" fillId="5" borderId="9" xfId="6" applyNumberFormat="1" applyFont="1" applyFill="1" applyBorder="1"/>
    <xf numFmtId="4" fontId="24" fillId="0" borderId="0" xfId="6" applyNumberFormat="1" applyFont="1"/>
    <xf numFmtId="0" fontId="24" fillId="0" borderId="29" xfId="6" applyFont="1" applyBorder="1"/>
    <xf numFmtId="0" fontId="24" fillId="0" borderId="40" xfId="6" applyFont="1" applyBorder="1"/>
    <xf numFmtId="3" fontId="24" fillId="0" borderId="30" xfId="6" applyNumberFormat="1" applyFont="1" applyBorder="1"/>
    <xf numFmtId="4" fontId="24" fillId="0" borderId="32" xfId="6" applyNumberFormat="1" applyFont="1" applyBorder="1"/>
    <xf numFmtId="3" fontId="24" fillId="0" borderId="29" xfId="6" applyNumberFormat="1" applyFont="1" applyBorder="1"/>
    <xf numFmtId="3" fontId="24" fillId="5" borderId="30" xfId="6" applyNumberFormat="1" applyFont="1" applyFill="1" applyBorder="1"/>
    <xf numFmtId="0" fontId="4" fillId="0" borderId="0" xfId="4" applyFont="1"/>
    <xf numFmtId="0" fontId="14" fillId="0" borderId="1" xfId="10" applyFont="1" applyBorder="1" applyAlignment="1">
      <alignment vertical="center"/>
    </xf>
    <xf numFmtId="0" fontId="14" fillId="0" borderId="1" xfId="10" applyFont="1" applyBorder="1" applyAlignment="1">
      <alignment horizontal="center" vertical="center" wrapText="1"/>
    </xf>
    <xf numFmtId="0" fontId="33" fillId="0" borderId="1" xfId="10" applyFont="1" applyBorder="1" applyAlignment="1">
      <alignment vertical="center"/>
    </xf>
    <xf numFmtId="3" fontId="33" fillId="0" borderId="1" xfId="10" applyNumberFormat="1" applyFont="1" applyBorder="1" applyAlignment="1">
      <alignment horizontal="center" vertical="center"/>
    </xf>
    <xf numFmtId="3" fontId="33" fillId="0" borderId="41" xfId="10" applyNumberFormat="1" applyFont="1" applyBorder="1" applyAlignment="1">
      <alignment horizontal="center" vertical="center"/>
    </xf>
    <xf numFmtId="0" fontId="34" fillId="0" borderId="0" xfId="4" applyFont="1"/>
    <xf numFmtId="0" fontId="35" fillId="0" borderId="1" xfId="10" applyFont="1" applyBorder="1" applyAlignment="1">
      <alignment vertical="center"/>
    </xf>
    <xf numFmtId="3" fontId="35" fillId="0" borderId="1" xfId="10" applyNumberFormat="1" applyFont="1" applyBorder="1" applyAlignment="1">
      <alignment horizontal="center" vertical="center"/>
    </xf>
    <xf numFmtId="0" fontId="35" fillId="0" borderId="1" xfId="10" applyFont="1" applyBorder="1" applyAlignment="1">
      <alignment vertical="center" wrapText="1"/>
    </xf>
    <xf numFmtId="0" fontId="4" fillId="0" borderId="1" xfId="4" applyFont="1" applyBorder="1"/>
    <xf numFmtId="0" fontId="14" fillId="0" borderId="41" xfId="10" applyFont="1" applyBorder="1" applyAlignment="1">
      <alignment horizontal="center" vertical="center"/>
    </xf>
    <xf numFmtId="0" fontId="33" fillId="0" borderId="1" xfId="10" applyFont="1" applyBorder="1" applyAlignment="1">
      <alignment vertical="center" wrapText="1"/>
    </xf>
    <xf numFmtId="0" fontId="33" fillId="0" borderId="41" xfId="10" applyFont="1" applyBorder="1" applyAlignment="1">
      <alignment vertical="center"/>
    </xf>
    <xf numFmtId="0" fontId="34" fillId="0" borderId="1" xfId="4" applyFont="1" applyBorder="1"/>
    <xf numFmtId="0" fontId="37" fillId="0" borderId="0" xfId="10" applyFont="1"/>
    <xf numFmtId="0" fontId="38" fillId="0" borderId="0" xfId="10" applyFont="1"/>
    <xf numFmtId="0" fontId="40" fillId="0" borderId="1" xfId="10" applyFont="1" applyBorder="1" applyAlignment="1">
      <alignment horizontal="center" vertical="center"/>
    </xf>
    <xf numFmtId="0" fontId="40" fillId="0" borderId="1" xfId="10" applyFont="1" applyBorder="1" applyAlignment="1">
      <alignment horizontal="center" vertical="center" wrapText="1"/>
    </xf>
    <xf numFmtId="0" fontId="40" fillId="0" borderId="1" xfId="13" applyFont="1" applyBorder="1" applyAlignment="1">
      <alignment horizontal="center" vertical="center" wrapText="1"/>
    </xf>
    <xf numFmtId="0" fontId="40" fillId="2" borderId="1" xfId="10" applyFont="1" applyFill="1" applyBorder="1" applyAlignment="1">
      <alignment horizontal="center" vertical="center"/>
    </xf>
    <xf numFmtId="0" fontId="40" fillId="2" borderId="1" xfId="10" applyFont="1" applyFill="1" applyBorder="1" applyAlignment="1">
      <alignment vertical="center"/>
    </xf>
    <xf numFmtId="2" fontId="40" fillId="2" borderId="1" xfId="10" applyNumberFormat="1" applyFont="1" applyFill="1" applyBorder="1" applyAlignment="1">
      <alignment horizontal="center" vertical="center"/>
    </xf>
    <xf numFmtId="0" fontId="37" fillId="3" borderId="1" xfId="10" applyFont="1" applyFill="1" applyBorder="1" applyAlignment="1">
      <alignment horizontal="center" vertical="center"/>
    </xf>
    <xf numFmtId="0" fontId="37" fillId="3" borderId="1" xfId="10" applyFont="1" applyFill="1" applyBorder="1" applyAlignment="1">
      <alignment horizontal="left" vertical="center" wrapText="1"/>
    </xf>
    <xf numFmtId="0" fontId="37" fillId="0" borderId="1" xfId="10" applyFont="1" applyBorder="1" applyAlignment="1">
      <alignment horizontal="center" vertical="center"/>
    </xf>
    <xf numFmtId="2" fontId="37" fillId="4" borderId="1" xfId="10" applyNumberFormat="1" applyFont="1" applyFill="1" applyBorder="1" applyAlignment="1">
      <alignment horizontal="center" vertical="center"/>
    </xf>
    <xf numFmtId="0" fontId="37" fillId="3" borderId="1" xfId="10" applyFont="1" applyFill="1" applyBorder="1" applyAlignment="1">
      <alignment horizontal="left" vertical="center"/>
    </xf>
    <xf numFmtId="2" fontId="37" fillId="0" borderId="1" xfId="10" applyNumberFormat="1" applyFont="1" applyBorder="1" applyAlignment="1">
      <alignment horizontal="center" vertical="center"/>
    </xf>
    <xf numFmtId="0" fontId="37" fillId="0" borderId="1" xfId="3" applyFont="1" applyBorder="1" applyAlignment="1">
      <alignment vertical="center" wrapText="1"/>
    </xf>
    <xf numFmtId="0" fontId="37" fillId="3" borderId="1" xfId="10" applyFont="1" applyFill="1" applyBorder="1" applyAlignment="1">
      <alignment vertical="center"/>
    </xf>
    <xf numFmtId="0" fontId="41" fillId="0" borderId="1" xfId="10" applyFont="1" applyBorder="1" applyAlignment="1">
      <alignment horizontal="center" vertical="center"/>
    </xf>
    <xf numFmtId="0" fontId="41" fillId="3" borderId="1" xfId="10" applyFont="1" applyFill="1" applyBorder="1" applyAlignment="1">
      <alignment vertical="center"/>
    </xf>
    <xf numFmtId="0" fontId="41" fillId="0" borderId="1" xfId="10" applyFont="1" applyBorder="1" applyAlignment="1">
      <alignment vertical="center" wrapText="1"/>
    </xf>
    <xf numFmtId="0" fontId="41" fillId="0" borderId="1" xfId="10" applyFont="1" applyBorder="1" applyAlignment="1">
      <alignment vertical="center"/>
    </xf>
    <xf numFmtId="0" fontId="37" fillId="0" borderId="1" xfId="10" applyFont="1" applyBorder="1" applyAlignment="1">
      <alignment horizontal="left" vertical="center"/>
    </xf>
    <xf numFmtId="0" fontId="38" fillId="0" borderId="0" xfId="10" applyFont="1" applyAlignment="1">
      <alignment vertical="center"/>
    </xf>
    <xf numFmtId="0" fontId="39" fillId="0" borderId="0" xfId="10" applyFont="1" applyAlignment="1">
      <alignment horizontal="right"/>
    </xf>
    <xf numFmtId="0" fontId="40" fillId="0" borderId="0" xfId="10" applyFont="1" applyAlignment="1">
      <alignment horizontal="center"/>
    </xf>
    <xf numFmtId="0" fontId="37" fillId="0" borderId="0" xfId="10" applyFont="1" applyAlignment="1">
      <alignment horizontal="center" wrapText="1"/>
    </xf>
    <xf numFmtId="0" fontId="10" fillId="0" borderId="0" xfId="10" applyFont="1" applyAlignment="1">
      <alignment horizontal="center"/>
    </xf>
    <xf numFmtId="0" fontId="16" fillId="0" borderId="0" xfId="10" applyFont="1" applyAlignment="1">
      <alignment horizontal="center"/>
    </xf>
    <xf numFmtId="0" fontId="20" fillId="0" borderId="0" xfId="8" applyFont="1" applyAlignment="1">
      <alignment horizontal="center" vertical="center"/>
    </xf>
    <xf numFmtId="4" fontId="28" fillId="5" borderId="23" xfId="12" applyNumberFormat="1" applyFont="1" applyFill="1" applyBorder="1" applyAlignment="1">
      <alignment horizontal="center" vertical="center"/>
    </xf>
    <xf numFmtId="4" fontId="28" fillId="5" borderId="9" xfId="12" applyNumberFormat="1" applyFont="1" applyFill="1" applyBorder="1" applyAlignment="1">
      <alignment horizontal="center" vertical="center"/>
    </xf>
    <xf numFmtId="4" fontId="28" fillId="5" borderId="30" xfId="12" applyNumberFormat="1" applyFont="1" applyFill="1" applyBorder="1" applyAlignment="1">
      <alignment horizontal="center" vertical="center"/>
    </xf>
    <xf numFmtId="4" fontId="28" fillId="0" borderId="23" xfId="12" applyNumberFormat="1" applyFont="1" applyBorder="1" applyAlignment="1">
      <alignment horizontal="center" vertical="center"/>
    </xf>
    <xf numFmtId="4" fontId="28" fillId="0" borderId="9" xfId="12" applyNumberFormat="1" applyFont="1" applyBorder="1" applyAlignment="1">
      <alignment horizontal="center" vertical="center"/>
    </xf>
    <xf numFmtId="4" fontId="28" fillId="0" borderId="30" xfId="12" applyNumberFormat="1" applyFont="1" applyBorder="1" applyAlignment="1">
      <alignment horizontal="center" vertical="center"/>
    </xf>
    <xf numFmtId="4" fontId="28" fillId="0" borderId="25" xfId="12" applyNumberFormat="1" applyFont="1" applyBorder="1" applyAlignment="1">
      <alignment horizontal="center" vertical="center"/>
    </xf>
    <xf numFmtId="4" fontId="28" fillId="0" borderId="28" xfId="12" applyNumberFormat="1" applyFont="1" applyBorder="1" applyAlignment="1">
      <alignment horizontal="center" vertical="center"/>
    </xf>
    <xf numFmtId="4" fontId="28" fillId="0" borderId="32" xfId="12" applyNumberFormat="1" applyFont="1" applyBorder="1" applyAlignment="1">
      <alignment horizontal="center" vertical="center"/>
    </xf>
    <xf numFmtId="3" fontId="28" fillId="0" borderId="22" xfId="12" applyNumberFormat="1" applyFont="1" applyBorder="1" applyAlignment="1">
      <alignment horizontal="center" vertical="center" wrapText="1"/>
    </xf>
    <xf numFmtId="3" fontId="28" fillId="0" borderId="26" xfId="12" applyNumberFormat="1" applyFont="1" applyBorder="1" applyAlignment="1">
      <alignment horizontal="center" vertical="center" wrapText="1"/>
    </xf>
    <xf numFmtId="3" fontId="28" fillId="0" borderId="29" xfId="12" applyNumberFormat="1" applyFont="1" applyBorder="1" applyAlignment="1">
      <alignment horizontal="center" vertical="center" wrapText="1"/>
    </xf>
    <xf numFmtId="3" fontId="28" fillId="0" borderId="23" xfId="12" applyNumberFormat="1" applyFont="1" applyBorder="1" applyAlignment="1">
      <alignment horizontal="center" vertical="center"/>
    </xf>
    <xf numFmtId="3" fontId="28" fillId="0" borderId="9" xfId="12" applyNumberFormat="1" applyFont="1" applyBorder="1" applyAlignment="1">
      <alignment horizontal="center" vertical="center"/>
    </xf>
    <xf numFmtId="3" fontId="28" fillId="0" borderId="30" xfId="12" applyNumberFormat="1" applyFont="1" applyBorder="1" applyAlignment="1">
      <alignment horizontal="center" vertical="center"/>
    </xf>
    <xf numFmtId="3" fontId="28" fillId="0" borderId="24" xfId="12" applyNumberFormat="1" applyFont="1" applyBorder="1" applyAlignment="1">
      <alignment horizontal="center" vertical="center"/>
    </xf>
    <xf numFmtId="3" fontId="28" fillId="0" borderId="20" xfId="12" applyNumberFormat="1" applyFont="1" applyBorder="1" applyAlignment="1">
      <alignment horizontal="center" vertical="center"/>
    </xf>
    <xf numFmtId="3" fontId="28" fillId="0" borderId="31" xfId="12" applyNumberFormat="1" applyFont="1" applyBorder="1" applyAlignment="1">
      <alignment horizontal="center" vertical="center"/>
    </xf>
    <xf numFmtId="0" fontId="14" fillId="0" borderId="26" xfId="11" applyFont="1" applyBorder="1" applyAlignment="1">
      <alignment horizontal="left" wrapText="1"/>
    </xf>
    <xf numFmtId="0" fontId="14" fillId="0" borderId="9" xfId="11" applyFont="1" applyBorder="1" applyAlignment="1">
      <alignment horizontal="left" wrapText="1"/>
    </xf>
    <xf numFmtId="0" fontId="14" fillId="0" borderId="29" xfId="11" applyFont="1" applyBorder="1" applyAlignment="1">
      <alignment horizontal="left" wrapText="1"/>
    </xf>
    <xf numFmtId="0" fontId="14" fillId="0" borderId="30" xfId="11" applyFont="1" applyBorder="1" applyAlignment="1">
      <alignment horizontal="left" wrapText="1"/>
    </xf>
    <xf numFmtId="0" fontId="14" fillId="0" borderId="22" xfId="11" applyFont="1" applyBorder="1" applyAlignment="1">
      <alignment horizontal="left" wrapText="1"/>
    </xf>
    <xf numFmtId="0" fontId="14" fillId="0" borderId="23" xfId="11" applyFont="1" applyBorder="1" applyAlignment="1">
      <alignment horizontal="left" wrapText="1"/>
    </xf>
    <xf numFmtId="0" fontId="25" fillId="0" borderId="23" xfId="6" applyFont="1" applyBorder="1" applyAlignment="1">
      <alignment horizontal="center" vertical="center" wrapText="1"/>
    </xf>
    <xf numFmtId="0" fontId="25" fillId="0" borderId="30" xfId="6" applyFont="1" applyBorder="1" applyAlignment="1">
      <alignment horizontal="center" vertical="center" wrapText="1"/>
    </xf>
    <xf numFmtId="0" fontId="25" fillId="0" borderId="22" xfId="6" applyFont="1" applyBorder="1" applyAlignment="1">
      <alignment horizontal="center" vertical="center"/>
    </xf>
    <xf numFmtId="0" fontId="25" fillId="0" borderId="29" xfId="6" applyFont="1" applyBorder="1" applyAlignment="1">
      <alignment horizontal="center" vertical="center"/>
    </xf>
    <xf numFmtId="0" fontId="25" fillId="0" borderId="24" xfId="6" applyFont="1" applyBorder="1" applyAlignment="1">
      <alignment horizontal="center" vertical="center" wrapText="1"/>
    </xf>
    <xf numFmtId="0" fontId="25" fillId="0" borderId="31" xfId="6" applyFont="1" applyBorder="1" applyAlignment="1">
      <alignment horizontal="center" vertical="center" wrapText="1"/>
    </xf>
    <xf numFmtId="0" fontId="25" fillId="0" borderId="25" xfId="6" applyFont="1" applyBorder="1" applyAlignment="1">
      <alignment horizontal="center" vertical="center" wrapText="1"/>
    </xf>
    <xf numFmtId="0" fontId="25" fillId="0" borderId="32" xfId="6" applyFont="1" applyBorder="1" applyAlignment="1">
      <alignment horizontal="center" vertical="center" wrapText="1"/>
    </xf>
    <xf numFmtId="0" fontId="25" fillId="0" borderId="22" xfId="6" applyFont="1" applyBorder="1" applyAlignment="1">
      <alignment horizontal="center" vertical="center" wrapText="1"/>
    </xf>
    <xf numFmtId="0" fontId="25" fillId="0" borderId="29" xfId="6" applyFont="1" applyBorder="1" applyAlignment="1">
      <alignment horizontal="center" vertical="center" wrapText="1"/>
    </xf>
    <xf numFmtId="3" fontId="33" fillId="0" borderId="41" xfId="10" applyNumberFormat="1" applyFont="1" applyBorder="1" applyAlignment="1">
      <alignment horizontal="center" vertical="center"/>
    </xf>
    <xf numFmtId="3" fontId="33" fillId="0" borderId="42" xfId="10" applyNumberFormat="1" applyFont="1" applyBorder="1" applyAlignment="1">
      <alignment horizontal="center" vertical="center"/>
    </xf>
    <xf numFmtId="0" fontId="33" fillId="0" borderId="41" xfId="10" applyFont="1" applyBorder="1" applyAlignment="1">
      <alignment horizontal="left" vertical="center"/>
    </xf>
    <xf numFmtId="0" fontId="33" fillId="0" borderId="43" xfId="10" applyFont="1" applyBorder="1" applyAlignment="1">
      <alignment horizontal="left" vertical="center"/>
    </xf>
    <xf numFmtId="0" fontId="33" fillId="0" borderId="42" xfId="10" applyFont="1" applyBorder="1" applyAlignment="1">
      <alignment horizontal="left" vertical="center"/>
    </xf>
    <xf numFmtId="3" fontId="33" fillId="0" borderId="43" xfId="10" applyNumberFormat="1" applyFont="1" applyBorder="1" applyAlignment="1">
      <alignment horizontal="center" vertical="center"/>
    </xf>
  </cellXfs>
  <cellStyles count="20">
    <cellStyle name="Normal_Sheet1" xfId="1" xr:uid="{00000000-0005-0000-0000-000000000000}"/>
    <cellStyle name="Обычный" xfId="0" builtinId="0"/>
    <cellStyle name="Обычный 11 2" xfId="2" xr:uid="{00000000-0005-0000-0000-000002000000}"/>
    <cellStyle name="Обычный 2" xfId="3" xr:uid="{00000000-0005-0000-0000-000003000000}"/>
    <cellStyle name="Обычный 2 2" xfId="4" xr:uid="{00000000-0005-0000-0000-000004000000}"/>
    <cellStyle name="Обычный 2 2 3 2" xfId="5" xr:uid="{00000000-0005-0000-0000-000005000000}"/>
    <cellStyle name="Обычный 3" xfId="6" xr:uid="{00000000-0005-0000-0000-000006000000}"/>
    <cellStyle name="Обычный 3 3" xfId="7" xr:uid="{00000000-0005-0000-0000-000007000000}"/>
    <cellStyle name="Обычный 4" xfId="8" xr:uid="{00000000-0005-0000-0000-000008000000}"/>
    <cellStyle name="Обычный 83" xfId="9" xr:uid="{00000000-0005-0000-0000-000009000000}"/>
    <cellStyle name="Обычный_2005год" xfId="10" xr:uid="{00000000-0005-0000-0000-00000A000000}"/>
    <cellStyle name="Обычный_5_А_2007_ЮЖНОЕ_N_ДР_АКТЫ" xfId="11" xr:uid="{00000000-0005-0000-0000-00000B000000}"/>
    <cellStyle name="Обычный_бюджет 2008 (11.02.08) на утверждение 2" xfId="12" xr:uid="{00000000-0005-0000-0000-00000C000000}"/>
    <cellStyle name="Обычный_тарифы город=факт" xfId="13" xr:uid="{00000000-0005-0000-0000-00000D000000}"/>
    <cellStyle name="Стиль 1" xfId="14" xr:uid="{00000000-0005-0000-0000-00000E000000}"/>
    <cellStyle name="Финансовый 2" xfId="15" xr:uid="{00000000-0005-0000-0000-00000F000000}"/>
    <cellStyle name="Финансовый 3" xfId="16" xr:uid="{00000000-0005-0000-0000-000010000000}"/>
    <cellStyle name="Финансовый 4" xfId="17" xr:uid="{00000000-0005-0000-0000-000011000000}"/>
    <cellStyle name="Финансовый 4 2" xfId="18" xr:uid="{00000000-0005-0000-0000-000012000000}"/>
    <cellStyle name="Финансовый 5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G314"/>
  <sheetViews>
    <sheetView tabSelected="1" zoomScale="70" workbookViewId="0">
      <selection activeCell="J7" sqref="J7"/>
    </sheetView>
  </sheetViews>
  <sheetFormatPr defaultColWidth="9.109375" defaultRowHeight="13.8"/>
  <cols>
    <col min="1" max="1" width="6.5546875" style="1" customWidth="1"/>
    <col min="2" max="2" width="65.5546875" style="1" customWidth="1"/>
    <col min="3" max="3" width="18.77734375" style="1" customWidth="1"/>
    <col min="4" max="7" width="17.5546875" style="1" customWidth="1"/>
    <col min="8" max="16384" width="9.109375" style="1"/>
  </cols>
  <sheetData>
    <row r="1" spans="1:7" ht="13.5" customHeight="1">
      <c r="A1" s="189"/>
      <c r="B1" s="189"/>
      <c r="C1" s="189"/>
      <c r="D1" s="189"/>
      <c r="E1" s="190"/>
      <c r="F1" s="190"/>
      <c r="G1" s="190"/>
    </row>
    <row r="2" spans="1:7" ht="15.15" customHeight="1">
      <c r="A2" s="189"/>
      <c r="B2" s="211" t="s">
        <v>0</v>
      </c>
      <c r="C2" s="211"/>
      <c r="D2" s="211"/>
      <c r="E2" s="211"/>
      <c r="F2" s="211"/>
      <c r="G2" s="211"/>
    </row>
    <row r="3" spans="1:7" ht="15.15" customHeight="1">
      <c r="A3" s="189"/>
      <c r="B3" s="212" t="s">
        <v>1</v>
      </c>
      <c r="C3" s="212"/>
      <c r="D3" s="212"/>
      <c r="E3" s="212"/>
      <c r="F3" s="212"/>
      <c r="G3" s="212"/>
    </row>
    <row r="4" spans="1:7" ht="25.8" customHeight="1">
      <c r="A4" s="189"/>
      <c r="B4" s="212" t="s">
        <v>2</v>
      </c>
      <c r="C4" s="212"/>
      <c r="D4" s="212"/>
      <c r="E4" s="212"/>
      <c r="F4" s="212"/>
      <c r="G4" s="212"/>
    </row>
    <row r="5" spans="1:7" ht="18">
      <c r="A5" s="213"/>
      <c r="B5" s="213"/>
      <c r="C5" s="213"/>
      <c r="D5" s="213"/>
      <c r="E5" s="190"/>
      <c r="F5" s="190"/>
      <c r="G5" s="190"/>
    </row>
    <row r="6" spans="1:7" s="3" customFormat="1" ht="45" customHeight="1">
      <c r="A6" s="191" t="s">
        <v>3</v>
      </c>
      <c r="B6" s="191" t="s">
        <v>4</v>
      </c>
      <c r="C6" s="192" t="s">
        <v>5</v>
      </c>
      <c r="D6" s="193" t="s">
        <v>6</v>
      </c>
      <c r="E6" s="193" t="s">
        <v>7</v>
      </c>
      <c r="F6" s="193" t="s">
        <v>8</v>
      </c>
      <c r="G6" s="193" t="s">
        <v>9</v>
      </c>
    </row>
    <row r="7" spans="1:7" s="3" customFormat="1" ht="34.5" customHeight="1">
      <c r="A7" s="194" t="s">
        <v>10</v>
      </c>
      <c r="B7" s="195" t="s">
        <v>11</v>
      </c>
      <c r="C7" s="195"/>
      <c r="D7" s="196">
        <f>SUM(D8:D16)+D21+D22</f>
        <v>31.66</v>
      </c>
      <c r="E7" s="196">
        <f>SUM(E8:E16)+E21+E22</f>
        <v>34.35</v>
      </c>
      <c r="F7" s="196">
        <f t="shared" ref="F7:F22" si="0">E7-D7</f>
        <v>2.6900000000000013</v>
      </c>
      <c r="G7" s="196">
        <f t="shared" ref="G7:G22" si="1">E7/D7*100-100</f>
        <v>8.4965255843335541</v>
      </c>
    </row>
    <row r="8" spans="1:7" s="3" customFormat="1" ht="34.200000000000003" customHeight="1">
      <c r="A8" s="197">
        <v>1</v>
      </c>
      <c r="B8" s="198" t="s">
        <v>12</v>
      </c>
      <c r="C8" s="199" t="s">
        <v>13</v>
      </c>
      <c r="D8" s="200">
        <v>5.72</v>
      </c>
      <c r="E8" s="200">
        <f>6.01+0.17</f>
        <v>6.18</v>
      </c>
      <c r="F8" s="200">
        <f t="shared" si="0"/>
        <v>0.45999999999999996</v>
      </c>
      <c r="G8" s="200">
        <f t="shared" si="1"/>
        <v>8.0419580419580399</v>
      </c>
    </row>
    <row r="9" spans="1:7" s="3" customFormat="1" ht="34.200000000000003" customHeight="1">
      <c r="A9" s="197">
        <f t="shared" ref="A9:A15" si="2">A8+1</f>
        <v>2</v>
      </c>
      <c r="B9" s="198" t="s">
        <v>14</v>
      </c>
      <c r="C9" s="199" t="s">
        <v>13</v>
      </c>
      <c r="D9" s="200">
        <v>6.33</v>
      </c>
      <c r="E9" s="200">
        <v>6.4</v>
      </c>
      <c r="F9" s="200">
        <f t="shared" si="0"/>
        <v>7.0000000000000284E-2</v>
      </c>
      <c r="G9" s="200">
        <f t="shared" si="1"/>
        <v>1.1058451816745816</v>
      </c>
    </row>
    <row r="10" spans="1:7" s="3" customFormat="1" ht="34.200000000000003" customHeight="1">
      <c r="A10" s="197">
        <f t="shared" si="2"/>
        <v>3</v>
      </c>
      <c r="B10" s="201" t="s">
        <v>15</v>
      </c>
      <c r="C10" s="199" t="s">
        <v>13</v>
      </c>
      <c r="D10" s="202">
        <v>1.67</v>
      </c>
      <c r="E10" s="202">
        <v>1.67</v>
      </c>
      <c r="F10" s="202">
        <f t="shared" si="0"/>
        <v>0</v>
      </c>
      <c r="G10" s="202">
        <f t="shared" si="1"/>
        <v>0</v>
      </c>
    </row>
    <row r="11" spans="1:7" s="3" customFormat="1" ht="34.200000000000003" customHeight="1">
      <c r="A11" s="197">
        <f t="shared" si="2"/>
        <v>4</v>
      </c>
      <c r="B11" s="201" t="s">
        <v>16</v>
      </c>
      <c r="C11" s="199" t="s">
        <v>13</v>
      </c>
      <c r="D11" s="200">
        <v>2.17</v>
      </c>
      <c r="E11" s="200">
        <f>2.23+0.25</f>
        <v>2.48</v>
      </c>
      <c r="F11" s="200">
        <f t="shared" si="0"/>
        <v>0.31000000000000005</v>
      </c>
      <c r="G11" s="200">
        <f t="shared" si="1"/>
        <v>14.285714285714278</v>
      </c>
    </row>
    <row r="12" spans="1:7" s="3" customFormat="1" ht="34.200000000000003" customHeight="1">
      <c r="A12" s="197">
        <f t="shared" si="2"/>
        <v>5</v>
      </c>
      <c r="B12" s="198" t="s">
        <v>17</v>
      </c>
      <c r="C12" s="199" t="s">
        <v>13</v>
      </c>
      <c r="D12" s="200">
        <v>2.02</v>
      </c>
      <c r="E12" s="200">
        <f>2.33+0.45</f>
        <v>2.7800000000000002</v>
      </c>
      <c r="F12" s="200">
        <f t="shared" si="0"/>
        <v>0.76000000000000023</v>
      </c>
      <c r="G12" s="200">
        <f t="shared" si="1"/>
        <v>37.623762376237636</v>
      </c>
    </row>
    <row r="13" spans="1:7" s="3" customFormat="1" ht="34.200000000000003" customHeight="1">
      <c r="A13" s="197">
        <f t="shared" si="2"/>
        <v>6</v>
      </c>
      <c r="B13" s="198" t="s">
        <v>18</v>
      </c>
      <c r="C13" s="199" t="s">
        <v>13</v>
      </c>
      <c r="D13" s="202">
        <v>0.67</v>
      </c>
      <c r="E13" s="202">
        <v>0.67</v>
      </c>
      <c r="F13" s="202">
        <f t="shared" si="0"/>
        <v>0</v>
      </c>
      <c r="G13" s="202">
        <f t="shared" si="1"/>
        <v>0</v>
      </c>
    </row>
    <row r="14" spans="1:7" s="3" customFormat="1" ht="34.200000000000003" customHeight="1">
      <c r="A14" s="197">
        <f t="shared" si="2"/>
        <v>7</v>
      </c>
      <c r="B14" s="198" t="s">
        <v>19</v>
      </c>
      <c r="C14" s="199" t="s">
        <v>13</v>
      </c>
      <c r="D14" s="202">
        <v>0.34</v>
      </c>
      <c r="E14" s="202">
        <v>0.34</v>
      </c>
      <c r="F14" s="202">
        <f t="shared" si="0"/>
        <v>0</v>
      </c>
      <c r="G14" s="202">
        <f t="shared" si="1"/>
        <v>0</v>
      </c>
    </row>
    <row r="15" spans="1:7" s="3" customFormat="1" ht="34.200000000000003" customHeight="1">
      <c r="A15" s="197">
        <f t="shared" si="2"/>
        <v>8</v>
      </c>
      <c r="B15" s="203" t="s">
        <v>20</v>
      </c>
      <c r="C15" s="199" t="s">
        <v>13</v>
      </c>
      <c r="D15" s="200">
        <v>3.06</v>
      </c>
      <c r="E15" s="200">
        <v>4.1500000000000004</v>
      </c>
      <c r="F15" s="200">
        <f t="shared" si="0"/>
        <v>1.0900000000000003</v>
      </c>
      <c r="G15" s="200">
        <f t="shared" si="1"/>
        <v>35.620915032679733</v>
      </c>
    </row>
    <row r="16" spans="1:7" s="3" customFormat="1" ht="34.200000000000003" customHeight="1">
      <c r="A16" s="197">
        <v>9</v>
      </c>
      <c r="B16" s="204" t="s">
        <v>21</v>
      </c>
      <c r="C16" s="199" t="s">
        <v>13</v>
      </c>
      <c r="D16" s="202">
        <f>SUM(D17:D20)</f>
        <v>9.0399999999999991</v>
      </c>
      <c r="E16" s="202">
        <f>SUM(E17:E20)</f>
        <v>9.0399999999999991</v>
      </c>
      <c r="F16" s="202">
        <f t="shared" si="0"/>
        <v>0</v>
      </c>
      <c r="G16" s="202">
        <f t="shared" si="1"/>
        <v>0</v>
      </c>
    </row>
    <row r="17" spans="1:7" s="12" customFormat="1" ht="34.200000000000003" customHeight="1">
      <c r="A17" s="205"/>
      <c r="B17" s="206" t="s">
        <v>22</v>
      </c>
      <c r="C17" s="199" t="s">
        <v>13</v>
      </c>
      <c r="D17" s="202">
        <v>3.05</v>
      </c>
      <c r="E17" s="202">
        <v>3.05</v>
      </c>
      <c r="F17" s="202">
        <f t="shared" si="0"/>
        <v>0</v>
      </c>
      <c r="G17" s="202">
        <f t="shared" si="1"/>
        <v>0</v>
      </c>
    </row>
    <row r="18" spans="1:7" s="12" customFormat="1" ht="34.200000000000003" customHeight="1">
      <c r="A18" s="205"/>
      <c r="B18" s="207" t="s">
        <v>23</v>
      </c>
      <c r="C18" s="199" t="s">
        <v>13</v>
      </c>
      <c r="D18" s="202">
        <v>5.6</v>
      </c>
      <c r="E18" s="202">
        <v>5.6</v>
      </c>
      <c r="F18" s="202">
        <f t="shared" si="0"/>
        <v>0</v>
      </c>
      <c r="G18" s="202">
        <f t="shared" si="1"/>
        <v>0</v>
      </c>
    </row>
    <row r="19" spans="1:7" s="12" customFormat="1" ht="34.200000000000003" customHeight="1">
      <c r="A19" s="205"/>
      <c r="B19" s="208" t="s">
        <v>24</v>
      </c>
      <c r="C19" s="199" t="s">
        <v>13</v>
      </c>
      <c r="D19" s="202">
        <v>0.3</v>
      </c>
      <c r="E19" s="202">
        <v>0.3</v>
      </c>
      <c r="F19" s="202">
        <f t="shared" si="0"/>
        <v>0</v>
      </c>
      <c r="G19" s="202">
        <f t="shared" si="1"/>
        <v>0</v>
      </c>
    </row>
    <row r="20" spans="1:7" s="12" customFormat="1" ht="34.200000000000003" customHeight="1">
      <c r="A20" s="205"/>
      <c r="B20" s="208" t="s">
        <v>25</v>
      </c>
      <c r="C20" s="199" t="s">
        <v>13</v>
      </c>
      <c r="D20" s="199">
        <v>0.09</v>
      </c>
      <c r="E20" s="199">
        <v>0.09</v>
      </c>
      <c r="F20" s="202">
        <f t="shared" si="0"/>
        <v>0</v>
      </c>
      <c r="G20" s="202">
        <f t="shared" si="1"/>
        <v>0</v>
      </c>
    </row>
    <row r="21" spans="1:7" s="3" customFormat="1" ht="34.200000000000003" customHeight="1">
      <c r="A21" s="199">
        <v>10</v>
      </c>
      <c r="B21" s="204" t="s">
        <v>26</v>
      </c>
      <c r="C21" s="199" t="s">
        <v>13</v>
      </c>
      <c r="D21" s="202">
        <v>0.44</v>
      </c>
      <c r="E21" s="202">
        <v>0.44</v>
      </c>
      <c r="F21" s="202">
        <f t="shared" si="0"/>
        <v>0</v>
      </c>
      <c r="G21" s="202">
        <f t="shared" si="1"/>
        <v>0</v>
      </c>
    </row>
    <row r="22" spans="1:7" s="3" customFormat="1" ht="34.200000000000003" customHeight="1">
      <c r="A22" s="199">
        <v>11</v>
      </c>
      <c r="B22" s="209" t="s">
        <v>27</v>
      </c>
      <c r="C22" s="199" t="s">
        <v>13</v>
      </c>
      <c r="D22" s="202">
        <v>0.2</v>
      </c>
      <c r="E22" s="202">
        <v>0.2</v>
      </c>
      <c r="F22" s="202">
        <f t="shared" si="0"/>
        <v>0</v>
      </c>
      <c r="G22" s="202">
        <f t="shared" si="1"/>
        <v>0</v>
      </c>
    </row>
    <row r="23" spans="1:7" s="3" customFormat="1" ht="18">
      <c r="A23" s="189"/>
      <c r="B23" s="189"/>
      <c r="C23" s="189"/>
      <c r="D23" s="189"/>
      <c r="E23" s="210"/>
      <c r="F23" s="210"/>
      <c r="G23" s="210"/>
    </row>
    <row r="24" spans="1:7" s="3" customFormat="1" ht="18">
      <c r="A24" s="189"/>
      <c r="B24" s="189"/>
      <c r="C24" s="189"/>
      <c r="D24" s="189"/>
      <c r="E24" s="210"/>
      <c r="F24" s="210"/>
      <c r="G24" s="210"/>
    </row>
    <row r="25" spans="1:7" ht="18">
      <c r="A25" s="189"/>
      <c r="B25" s="189"/>
      <c r="C25" s="189"/>
      <c r="D25" s="189"/>
      <c r="E25" s="190"/>
      <c r="F25" s="190"/>
      <c r="G25" s="190"/>
    </row>
    <row r="26" spans="1:7" ht="18">
      <c r="A26" s="189"/>
      <c r="B26" s="189"/>
      <c r="C26" s="189"/>
      <c r="D26" s="189"/>
      <c r="E26" s="190"/>
      <c r="F26" s="190"/>
      <c r="G26" s="190"/>
    </row>
    <row r="27" spans="1:7" ht="18">
      <c r="A27" s="189"/>
      <c r="B27" s="189"/>
      <c r="C27" s="189"/>
      <c r="D27" s="189"/>
      <c r="E27" s="190"/>
      <c r="F27" s="190"/>
      <c r="G27" s="190"/>
    </row>
    <row r="28" spans="1:7" ht="18">
      <c r="A28" s="189"/>
      <c r="B28" s="189"/>
      <c r="C28" s="189"/>
      <c r="D28" s="189"/>
      <c r="E28" s="190"/>
      <c r="F28" s="190"/>
      <c r="G28" s="190"/>
    </row>
    <row r="29" spans="1:7" ht="18">
      <c r="A29" s="189"/>
      <c r="B29" s="189"/>
      <c r="C29" s="189"/>
      <c r="D29" s="189"/>
      <c r="E29" s="190"/>
      <c r="F29" s="190"/>
      <c r="G29" s="190"/>
    </row>
    <row r="30" spans="1:7" ht="18">
      <c r="A30" s="189"/>
      <c r="B30" s="189"/>
      <c r="C30" s="189"/>
      <c r="D30" s="189"/>
      <c r="E30" s="190"/>
      <c r="F30" s="190"/>
      <c r="G30" s="190"/>
    </row>
    <row r="31" spans="1:7" ht="18">
      <c r="A31" s="189"/>
      <c r="B31" s="189"/>
      <c r="C31" s="189"/>
      <c r="D31" s="189"/>
      <c r="E31" s="190"/>
      <c r="F31" s="190"/>
      <c r="G31" s="190"/>
    </row>
    <row r="32" spans="1:7" ht="18">
      <c r="A32" s="189"/>
      <c r="B32" s="189"/>
      <c r="C32" s="189"/>
      <c r="D32" s="189"/>
      <c r="E32" s="190"/>
      <c r="F32" s="190"/>
      <c r="G32" s="190"/>
    </row>
    <row r="33" spans="1:4">
      <c r="A33" s="2"/>
      <c r="B33" s="2"/>
      <c r="C33" s="2"/>
      <c r="D33" s="2"/>
    </row>
    <row r="34" spans="1:4">
      <c r="A34" s="2"/>
      <c r="B34" s="2"/>
      <c r="C34" s="2"/>
      <c r="D34" s="2"/>
    </row>
    <row r="35" spans="1:4">
      <c r="A35" s="2"/>
      <c r="B35" s="2"/>
      <c r="C35" s="2"/>
      <c r="D35" s="2"/>
    </row>
    <row r="36" spans="1:4">
      <c r="A36" s="2"/>
      <c r="B36" s="2"/>
      <c r="C36" s="2"/>
      <c r="D36" s="2"/>
    </row>
    <row r="37" spans="1:4">
      <c r="A37" s="2"/>
      <c r="B37" s="2"/>
      <c r="C37" s="2"/>
      <c r="D37" s="2"/>
    </row>
    <row r="38" spans="1:4">
      <c r="A38" s="2"/>
      <c r="B38" s="2"/>
      <c r="C38" s="2"/>
      <c r="D38" s="2"/>
    </row>
    <row r="39" spans="1:4">
      <c r="A39" s="2"/>
      <c r="B39" s="2"/>
      <c r="C39" s="2"/>
      <c r="D39" s="2"/>
    </row>
    <row r="40" spans="1:4">
      <c r="A40" s="2"/>
      <c r="B40" s="2"/>
      <c r="C40" s="2"/>
      <c r="D40" s="2"/>
    </row>
    <row r="41" spans="1:4">
      <c r="A41" s="2"/>
      <c r="B41" s="2"/>
      <c r="C41" s="2"/>
      <c r="D41" s="2"/>
    </row>
    <row r="42" spans="1:4">
      <c r="A42" s="2"/>
      <c r="B42" s="2"/>
      <c r="C42" s="2"/>
      <c r="D42" s="2"/>
    </row>
    <row r="43" spans="1:4">
      <c r="A43" s="2"/>
      <c r="B43" s="2"/>
      <c r="C43" s="2"/>
      <c r="D43" s="2"/>
    </row>
    <row r="44" spans="1:4">
      <c r="A44" s="2"/>
      <c r="B44" s="2"/>
      <c r="C44" s="2"/>
      <c r="D44" s="2"/>
    </row>
    <row r="45" spans="1:4">
      <c r="A45" s="2"/>
      <c r="B45" s="2"/>
      <c r="C45" s="2"/>
      <c r="D45" s="2"/>
    </row>
    <row r="46" spans="1:4">
      <c r="A46" s="2"/>
      <c r="B46" s="2"/>
      <c r="C46" s="2"/>
      <c r="D46" s="2"/>
    </row>
    <row r="47" spans="1:4">
      <c r="A47" s="2"/>
      <c r="B47" s="2"/>
      <c r="C47" s="2"/>
      <c r="D47" s="2"/>
    </row>
    <row r="48" spans="1:4">
      <c r="A48" s="2"/>
      <c r="B48" s="2"/>
      <c r="C48" s="2"/>
      <c r="D48" s="2"/>
    </row>
    <row r="49" spans="1:4">
      <c r="A49" s="2"/>
      <c r="B49" s="2"/>
      <c r="C49" s="2"/>
      <c r="D49" s="2"/>
    </row>
    <row r="50" spans="1:4">
      <c r="A50" s="2"/>
      <c r="B50" s="2"/>
      <c r="C50" s="2"/>
      <c r="D50" s="2"/>
    </row>
    <row r="51" spans="1:4">
      <c r="A51" s="2"/>
      <c r="B51" s="2"/>
      <c r="C51" s="2"/>
      <c r="D51" s="2"/>
    </row>
    <row r="52" spans="1:4">
      <c r="A52" s="2"/>
      <c r="B52" s="2"/>
      <c r="C52" s="2"/>
      <c r="D52" s="2"/>
    </row>
    <row r="53" spans="1:4">
      <c r="A53" s="2"/>
      <c r="B53" s="2"/>
      <c r="C53" s="2"/>
      <c r="D53" s="2"/>
    </row>
    <row r="54" spans="1:4">
      <c r="A54" s="2"/>
      <c r="B54" s="2"/>
      <c r="C54" s="2"/>
      <c r="D54" s="2"/>
    </row>
    <row r="55" spans="1:4">
      <c r="A55" s="2"/>
      <c r="B55" s="2"/>
      <c r="C55" s="2"/>
      <c r="D55" s="2"/>
    </row>
    <row r="56" spans="1:4">
      <c r="A56" s="2"/>
      <c r="B56" s="2"/>
      <c r="C56" s="2"/>
      <c r="D56" s="2"/>
    </row>
    <row r="57" spans="1:4">
      <c r="A57" s="2"/>
      <c r="B57" s="2"/>
      <c r="C57" s="2"/>
      <c r="D57" s="2"/>
    </row>
    <row r="58" spans="1:4">
      <c r="A58" s="2"/>
      <c r="B58" s="2"/>
      <c r="C58" s="2"/>
      <c r="D58" s="2"/>
    </row>
    <row r="59" spans="1:4">
      <c r="A59" s="2"/>
      <c r="B59" s="2"/>
      <c r="C59" s="2"/>
      <c r="D59" s="2"/>
    </row>
    <row r="60" spans="1:4">
      <c r="A60" s="2"/>
      <c r="B60" s="2"/>
      <c r="C60" s="2"/>
      <c r="D60" s="2"/>
    </row>
    <row r="61" spans="1:4">
      <c r="A61" s="2"/>
      <c r="B61" s="2"/>
      <c r="C61" s="2"/>
      <c r="D61" s="2"/>
    </row>
    <row r="62" spans="1:4">
      <c r="A62" s="2"/>
      <c r="B62" s="2"/>
      <c r="C62" s="2"/>
      <c r="D62" s="2"/>
    </row>
    <row r="63" spans="1:4">
      <c r="A63" s="2"/>
      <c r="B63" s="2"/>
      <c r="C63" s="2"/>
      <c r="D63" s="2"/>
    </row>
    <row r="64" spans="1:4">
      <c r="A64" s="2"/>
      <c r="B64" s="2"/>
      <c r="C64" s="2"/>
      <c r="D64" s="2"/>
    </row>
    <row r="65" spans="1:4">
      <c r="A65" s="2"/>
      <c r="B65" s="2"/>
      <c r="C65" s="2"/>
      <c r="D65" s="2"/>
    </row>
    <row r="66" spans="1:4">
      <c r="A66" s="2"/>
      <c r="B66" s="2"/>
      <c r="C66" s="2"/>
      <c r="D66" s="2"/>
    </row>
    <row r="67" spans="1:4">
      <c r="A67" s="2"/>
      <c r="B67" s="2"/>
      <c r="C67" s="2"/>
      <c r="D67" s="2"/>
    </row>
    <row r="68" spans="1:4">
      <c r="A68" s="2"/>
      <c r="B68" s="2"/>
      <c r="C68" s="2"/>
      <c r="D68" s="2"/>
    </row>
    <row r="69" spans="1:4">
      <c r="A69" s="2"/>
      <c r="B69" s="2"/>
      <c r="C69" s="2"/>
      <c r="D69" s="2"/>
    </row>
    <row r="70" spans="1:4">
      <c r="A70" s="2"/>
      <c r="B70" s="2"/>
      <c r="C70" s="2"/>
      <c r="D70" s="2"/>
    </row>
    <row r="71" spans="1:4">
      <c r="A71" s="2"/>
      <c r="B71" s="2"/>
      <c r="C71" s="2"/>
      <c r="D71" s="2"/>
    </row>
    <row r="72" spans="1:4">
      <c r="A72" s="2"/>
      <c r="B72" s="2"/>
      <c r="C72" s="2"/>
      <c r="D72" s="2"/>
    </row>
    <row r="73" spans="1:4">
      <c r="A73" s="2"/>
      <c r="B73" s="2"/>
      <c r="C73" s="2"/>
      <c r="D73" s="2"/>
    </row>
    <row r="74" spans="1:4">
      <c r="A74" s="2"/>
      <c r="B74" s="2"/>
      <c r="C74" s="2"/>
      <c r="D74" s="2"/>
    </row>
    <row r="75" spans="1:4">
      <c r="A75" s="2"/>
      <c r="B75" s="2"/>
      <c r="C75" s="2"/>
      <c r="D75" s="2"/>
    </row>
    <row r="76" spans="1:4">
      <c r="A76" s="2"/>
      <c r="B76" s="2"/>
      <c r="C76" s="2"/>
      <c r="D76" s="2"/>
    </row>
    <row r="77" spans="1:4">
      <c r="A77" s="2"/>
      <c r="B77" s="2"/>
      <c r="C77" s="2"/>
      <c r="D77" s="2"/>
    </row>
    <row r="78" spans="1:4">
      <c r="A78" s="2"/>
      <c r="B78" s="2"/>
      <c r="C78" s="2"/>
      <c r="D78" s="2"/>
    </row>
    <row r="79" spans="1:4">
      <c r="A79" s="2"/>
      <c r="B79" s="2"/>
      <c r="C79" s="2"/>
      <c r="D79" s="2"/>
    </row>
    <row r="80" spans="1:4">
      <c r="A80" s="2"/>
      <c r="B80" s="2"/>
      <c r="C80" s="2"/>
      <c r="D80" s="2"/>
    </row>
    <row r="81" spans="1:4">
      <c r="A81" s="2"/>
      <c r="B81" s="2"/>
      <c r="C81" s="2"/>
      <c r="D81" s="2"/>
    </row>
    <row r="82" spans="1:4">
      <c r="A82" s="2"/>
      <c r="B82" s="2"/>
      <c r="C82" s="2"/>
      <c r="D82" s="2"/>
    </row>
    <row r="83" spans="1:4">
      <c r="A83" s="2"/>
      <c r="B83" s="2"/>
      <c r="C83" s="2"/>
      <c r="D83" s="2"/>
    </row>
    <row r="84" spans="1:4">
      <c r="A84" s="2"/>
      <c r="B84" s="2"/>
      <c r="C84" s="2"/>
      <c r="D84" s="2"/>
    </row>
    <row r="85" spans="1:4">
      <c r="A85" s="2"/>
      <c r="B85" s="2"/>
      <c r="C85" s="2"/>
      <c r="D85" s="2"/>
    </row>
    <row r="86" spans="1:4">
      <c r="A86" s="2"/>
      <c r="B86" s="2"/>
      <c r="C86" s="2"/>
      <c r="D86" s="2"/>
    </row>
    <row r="87" spans="1:4">
      <c r="A87" s="2"/>
      <c r="B87" s="2"/>
      <c r="C87" s="2"/>
      <c r="D87" s="2"/>
    </row>
    <row r="88" spans="1:4">
      <c r="A88" s="2"/>
      <c r="B88" s="2"/>
      <c r="C88" s="2"/>
      <c r="D88" s="2"/>
    </row>
    <row r="89" spans="1:4">
      <c r="A89" s="2"/>
      <c r="B89" s="2"/>
      <c r="C89" s="2"/>
      <c r="D89" s="2"/>
    </row>
    <row r="90" spans="1:4">
      <c r="A90" s="2"/>
      <c r="B90" s="2"/>
      <c r="C90" s="2"/>
      <c r="D90" s="2"/>
    </row>
    <row r="91" spans="1:4">
      <c r="A91" s="2"/>
      <c r="B91" s="2"/>
      <c r="C91" s="2"/>
      <c r="D91" s="2"/>
    </row>
    <row r="92" spans="1:4">
      <c r="A92" s="2"/>
      <c r="B92" s="2"/>
      <c r="C92" s="2"/>
      <c r="D92" s="2"/>
    </row>
    <row r="93" spans="1:4">
      <c r="A93" s="2"/>
      <c r="B93" s="2"/>
      <c r="C93" s="2"/>
      <c r="D93" s="2"/>
    </row>
    <row r="94" spans="1:4">
      <c r="A94" s="2"/>
      <c r="B94" s="2"/>
      <c r="C94" s="2"/>
      <c r="D94" s="2"/>
    </row>
    <row r="95" spans="1:4">
      <c r="A95" s="2"/>
      <c r="B95" s="2"/>
      <c r="C95" s="2"/>
      <c r="D95" s="2"/>
    </row>
    <row r="96" spans="1:4">
      <c r="A96" s="2"/>
      <c r="B96" s="2"/>
      <c r="C96" s="2"/>
      <c r="D96" s="2"/>
    </row>
    <row r="97" spans="1:4">
      <c r="A97" s="2"/>
      <c r="B97" s="2"/>
      <c r="C97" s="2"/>
      <c r="D97" s="2"/>
    </row>
    <row r="98" spans="1:4">
      <c r="A98" s="2"/>
      <c r="B98" s="2"/>
      <c r="C98" s="2"/>
      <c r="D98" s="2"/>
    </row>
    <row r="99" spans="1:4">
      <c r="A99" s="2"/>
      <c r="B99" s="2"/>
      <c r="C99" s="2"/>
      <c r="D99" s="2"/>
    </row>
    <row r="100" spans="1:4">
      <c r="A100" s="2"/>
      <c r="B100" s="2"/>
      <c r="C100" s="2"/>
      <c r="D100" s="2"/>
    </row>
    <row r="101" spans="1:4">
      <c r="A101" s="2"/>
      <c r="B101" s="2"/>
      <c r="C101" s="2"/>
      <c r="D101" s="2"/>
    </row>
    <row r="102" spans="1:4">
      <c r="A102" s="2"/>
      <c r="B102" s="2"/>
      <c r="C102" s="2"/>
      <c r="D102" s="2"/>
    </row>
    <row r="103" spans="1:4">
      <c r="A103" s="2"/>
      <c r="B103" s="2"/>
      <c r="C103" s="2"/>
      <c r="D103" s="2"/>
    </row>
    <row r="104" spans="1:4">
      <c r="A104" s="2"/>
      <c r="B104" s="2"/>
      <c r="C104" s="2"/>
      <c r="D104" s="2"/>
    </row>
    <row r="105" spans="1:4">
      <c r="A105" s="2"/>
      <c r="B105" s="2"/>
      <c r="C105" s="2"/>
      <c r="D105" s="2"/>
    </row>
    <row r="106" spans="1:4">
      <c r="A106" s="2"/>
      <c r="B106" s="2"/>
      <c r="C106" s="2"/>
      <c r="D106" s="2"/>
    </row>
    <row r="107" spans="1:4">
      <c r="A107" s="2"/>
      <c r="B107" s="2"/>
      <c r="C107" s="2"/>
      <c r="D107" s="2"/>
    </row>
    <row r="108" spans="1:4">
      <c r="A108" s="2"/>
      <c r="B108" s="2"/>
      <c r="C108" s="2"/>
      <c r="D108" s="2"/>
    </row>
    <row r="109" spans="1:4">
      <c r="A109" s="2"/>
      <c r="B109" s="2"/>
      <c r="C109" s="2"/>
      <c r="D109" s="2"/>
    </row>
    <row r="110" spans="1:4">
      <c r="A110" s="2"/>
      <c r="B110" s="2"/>
      <c r="C110" s="2"/>
      <c r="D110" s="2"/>
    </row>
    <row r="111" spans="1:4">
      <c r="A111" s="2"/>
      <c r="B111" s="2"/>
      <c r="C111" s="2"/>
      <c r="D111" s="2"/>
    </row>
    <row r="112" spans="1:4">
      <c r="A112" s="2"/>
      <c r="B112" s="2"/>
      <c r="C112" s="2"/>
      <c r="D112" s="2"/>
    </row>
    <row r="113" spans="1:4">
      <c r="A113" s="2"/>
      <c r="B113" s="2"/>
      <c r="C113" s="2"/>
      <c r="D113" s="2"/>
    </row>
    <row r="114" spans="1:4">
      <c r="A114" s="2"/>
      <c r="B114" s="2"/>
      <c r="C114" s="2"/>
      <c r="D114" s="2"/>
    </row>
    <row r="115" spans="1:4">
      <c r="A115" s="2"/>
      <c r="B115" s="2"/>
      <c r="C115" s="2"/>
      <c r="D115" s="2"/>
    </row>
    <row r="116" spans="1:4">
      <c r="A116" s="2"/>
      <c r="B116" s="2"/>
      <c r="C116" s="2"/>
      <c r="D116" s="2"/>
    </row>
    <row r="117" spans="1:4">
      <c r="A117" s="2"/>
      <c r="B117" s="2"/>
      <c r="C117" s="2"/>
      <c r="D117" s="2"/>
    </row>
    <row r="118" spans="1:4">
      <c r="A118" s="2"/>
      <c r="B118" s="2"/>
      <c r="C118" s="2"/>
      <c r="D118" s="2"/>
    </row>
    <row r="119" spans="1:4">
      <c r="A119" s="2"/>
      <c r="B119" s="2"/>
      <c r="C119" s="2"/>
      <c r="D119" s="2"/>
    </row>
    <row r="120" spans="1:4">
      <c r="A120" s="2"/>
      <c r="B120" s="2"/>
      <c r="C120" s="2"/>
      <c r="D120" s="2"/>
    </row>
    <row r="121" spans="1:4">
      <c r="A121" s="2"/>
      <c r="B121" s="2"/>
      <c r="C121" s="2"/>
      <c r="D121" s="2"/>
    </row>
    <row r="122" spans="1:4">
      <c r="A122" s="2"/>
      <c r="B122" s="2"/>
      <c r="C122" s="2"/>
      <c r="D122" s="2"/>
    </row>
    <row r="123" spans="1:4">
      <c r="A123" s="2"/>
      <c r="B123" s="2"/>
      <c r="C123" s="2"/>
      <c r="D123" s="2"/>
    </row>
    <row r="124" spans="1:4">
      <c r="A124" s="2"/>
      <c r="B124" s="2"/>
      <c r="C124" s="2"/>
      <c r="D124" s="2"/>
    </row>
    <row r="125" spans="1:4">
      <c r="A125" s="2"/>
      <c r="B125" s="2"/>
      <c r="C125" s="2"/>
      <c r="D125" s="2"/>
    </row>
    <row r="126" spans="1:4">
      <c r="A126" s="2"/>
      <c r="B126" s="2"/>
      <c r="C126" s="2"/>
      <c r="D126" s="2"/>
    </row>
    <row r="127" spans="1:4">
      <c r="A127" s="2"/>
      <c r="B127" s="2"/>
      <c r="C127" s="2"/>
      <c r="D127" s="2"/>
    </row>
    <row r="128" spans="1:4">
      <c r="A128" s="2"/>
      <c r="B128" s="2"/>
      <c r="C128" s="2"/>
      <c r="D128" s="2"/>
    </row>
    <row r="129" spans="1:4">
      <c r="A129" s="2"/>
      <c r="B129" s="2"/>
      <c r="C129" s="2"/>
      <c r="D129" s="2"/>
    </row>
    <row r="130" spans="1:4">
      <c r="A130" s="2"/>
      <c r="B130" s="2"/>
      <c r="C130" s="2"/>
      <c r="D130" s="2"/>
    </row>
    <row r="131" spans="1:4">
      <c r="A131" s="2"/>
      <c r="B131" s="2"/>
      <c r="C131" s="2"/>
      <c r="D131" s="2"/>
    </row>
    <row r="132" spans="1:4">
      <c r="A132" s="2"/>
      <c r="B132" s="2"/>
      <c r="C132" s="2"/>
      <c r="D132" s="2"/>
    </row>
    <row r="133" spans="1:4">
      <c r="A133" s="2"/>
      <c r="B133" s="2"/>
      <c r="C133" s="2"/>
      <c r="D133" s="2"/>
    </row>
    <row r="134" spans="1:4">
      <c r="A134" s="2"/>
      <c r="B134" s="2"/>
      <c r="C134" s="2"/>
      <c r="D134" s="2"/>
    </row>
    <row r="135" spans="1:4">
      <c r="A135" s="2"/>
      <c r="B135" s="2"/>
      <c r="C135" s="2"/>
      <c r="D135" s="2"/>
    </row>
    <row r="136" spans="1:4">
      <c r="A136" s="2"/>
      <c r="B136" s="2"/>
      <c r="C136" s="2"/>
      <c r="D136" s="2"/>
    </row>
    <row r="137" spans="1:4">
      <c r="A137" s="2"/>
      <c r="B137" s="2"/>
      <c r="C137" s="2"/>
      <c r="D137" s="2"/>
    </row>
    <row r="138" spans="1:4">
      <c r="A138" s="2"/>
      <c r="B138" s="2"/>
      <c r="C138" s="2"/>
      <c r="D138" s="2"/>
    </row>
    <row r="139" spans="1:4">
      <c r="A139" s="2"/>
      <c r="B139" s="2"/>
      <c r="C139" s="2"/>
      <c r="D139" s="2"/>
    </row>
    <row r="140" spans="1:4">
      <c r="A140" s="2"/>
      <c r="B140" s="2"/>
      <c r="C140" s="2"/>
      <c r="D140" s="2"/>
    </row>
    <row r="141" spans="1:4">
      <c r="A141" s="2"/>
      <c r="B141" s="2"/>
      <c r="C141" s="2"/>
      <c r="D141" s="2"/>
    </row>
    <row r="142" spans="1:4">
      <c r="A142" s="2"/>
      <c r="B142" s="2"/>
      <c r="C142" s="2"/>
      <c r="D142" s="2"/>
    </row>
    <row r="143" spans="1:4">
      <c r="A143" s="2"/>
      <c r="B143" s="2"/>
      <c r="C143" s="2"/>
      <c r="D143" s="2"/>
    </row>
    <row r="144" spans="1:4">
      <c r="A144" s="2"/>
      <c r="B144" s="2"/>
      <c r="C144" s="2"/>
      <c r="D144" s="2"/>
    </row>
    <row r="145" spans="1:4">
      <c r="A145" s="2"/>
      <c r="B145" s="2"/>
      <c r="C145" s="2"/>
      <c r="D145" s="2"/>
    </row>
    <row r="146" spans="1:4">
      <c r="A146" s="2"/>
      <c r="B146" s="2"/>
      <c r="C146" s="2"/>
      <c r="D146" s="2"/>
    </row>
    <row r="147" spans="1:4">
      <c r="A147" s="2"/>
      <c r="B147" s="2"/>
      <c r="C147" s="2"/>
      <c r="D147" s="2"/>
    </row>
    <row r="148" spans="1:4">
      <c r="A148" s="2"/>
      <c r="B148" s="2"/>
      <c r="C148" s="2"/>
      <c r="D148" s="2"/>
    </row>
    <row r="149" spans="1:4">
      <c r="A149" s="2"/>
      <c r="B149" s="2"/>
      <c r="C149" s="2"/>
      <c r="D149" s="2"/>
    </row>
    <row r="150" spans="1:4">
      <c r="A150" s="2"/>
      <c r="B150" s="2"/>
      <c r="C150" s="2"/>
      <c r="D150" s="2"/>
    </row>
    <row r="151" spans="1:4">
      <c r="A151" s="2"/>
      <c r="B151" s="2"/>
      <c r="C151" s="2"/>
      <c r="D151" s="2"/>
    </row>
    <row r="152" spans="1:4">
      <c r="A152" s="2"/>
      <c r="B152" s="2"/>
      <c r="C152" s="2"/>
      <c r="D152" s="2"/>
    </row>
    <row r="153" spans="1:4">
      <c r="A153" s="2"/>
      <c r="B153" s="2"/>
      <c r="C153" s="2"/>
      <c r="D153" s="2"/>
    </row>
    <row r="154" spans="1:4">
      <c r="A154" s="2"/>
      <c r="B154" s="2"/>
      <c r="C154" s="2"/>
      <c r="D154" s="2"/>
    </row>
    <row r="155" spans="1:4">
      <c r="A155" s="2"/>
      <c r="B155" s="2"/>
      <c r="C155" s="2"/>
      <c r="D155" s="2"/>
    </row>
    <row r="156" spans="1:4">
      <c r="A156" s="2"/>
      <c r="B156" s="2"/>
      <c r="C156" s="2"/>
      <c r="D156" s="2"/>
    </row>
    <row r="157" spans="1:4">
      <c r="A157" s="2"/>
      <c r="B157" s="2"/>
      <c r="C157" s="2"/>
      <c r="D157" s="2"/>
    </row>
    <row r="158" spans="1:4">
      <c r="A158" s="2"/>
      <c r="B158" s="2"/>
      <c r="C158" s="2"/>
      <c r="D158" s="2"/>
    </row>
    <row r="159" spans="1:4">
      <c r="A159" s="2"/>
      <c r="B159" s="2"/>
      <c r="C159" s="2"/>
      <c r="D159" s="2"/>
    </row>
    <row r="160" spans="1:4">
      <c r="A160" s="2"/>
      <c r="B160" s="2"/>
      <c r="C160" s="2"/>
      <c r="D160" s="2"/>
    </row>
    <row r="161" spans="1:4">
      <c r="A161" s="2"/>
      <c r="B161" s="2"/>
      <c r="C161" s="2"/>
      <c r="D161" s="2"/>
    </row>
    <row r="162" spans="1:4">
      <c r="A162" s="2"/>
      <c r="B162" s="2"/>
      <c r="C162" s="2"/>
      <c r="D162" s="2"/>
    </row>
    <row r="163" spans="1:4">
      <c r="A163" s="2"/>
      <c r="B163" s="2"/>
      <c r="C163" s="2"/>
      <c r="D163" s="2"/>
    </row>
    <row r="164" spans="1:4">
      <c r="A164" s="2"/>
      <c r="B164" s="2"/>
      <c r="C164" s="2"/>
      <c r="D164" s="2"/>
    </row>
    <row r="165" spans="1:4">
      <c r="A165" s="2"/>
      <c r="B165" s="2"/>
      <c r="C165" s="2"/>
      <c r="D165" s="2"/>
    </row>
    <row r="166" spans="1:4">
      <c r="A166" s="2"/>
      <c r="B166" s="2"/>
      <c r="C166" s="2"/>
      <c r="D166" s="2"/>
    </row>
    <row r="167" spans="1:4">
      <c r="A167" s="2"/>
      <c r="B167" s="2"/>
      <c r="C167" s="2"/>
      <c r="D167" s="2"/>
    </row>
    <row r="168" spans="1:4">
      <c r="A168" s="2"/>
      <c r="B168" s="2"/>
      <c r="C168" s="2"/>
      <c r="D168" s="2"/>
    </row>
    <row r="169" spans="1:4">
      <c r="A169" s="2"/>
      <c r="B169" s="2"/>
      <c r="C169" s="2"/>
      <c r="D169" s="2"/>
    </row>
    <row r="170" spans="1:4">
      <c r="A170" s="2"/>
      <c r="B170" s="2"/>
      <c r="C170" s="2"/>
      <c r="D170" s="2"/>
    </row>
    <row r="171" spans="1:4">
      <c r="A171" s="2"/>
      <c r="B171" s="2"/>
      <c r="C171" s="2"/>
      <c r="D171" s="2"/>
    </row>
    <row r="172" spans="1:4">
      <c r="A172" s="2"/>
      <c r="B172" s="2"/>
      <c r="C172" s="2"/>
      <c r="D172" s="2"/>
    </row>
    <row r="173" spans="1:4">
      <c r="A173" s="2"/>
      <c r="B173" s="2"/>
      <c r="C173" s="2"/>
      <c r="D173" s="2"/>
    </row>
    <row r="174" spans="1:4">
      <c r="A174" s="2"/>
      <c r="B174" s="2"/>
      <c r="C174" s="2"/>
      <c r="D174" s="2"/>
    </row>
    <row r="175" spans="1:4">
      <c r="A175" s="2"/>
      <c r="B175" s="2"/>
      <c r="C175" s="2"/>
      <c r="D175" s="2"/>
    </row>
    <row r="176" spans="1:4">
      <c r="A176" s="2"/>
      <c r="B176" s="2"/>
      <c r="C176" s="2"/>
      <c r="D176" s="2"/>
    </row>
    <row r="177" spans="1:4">
      <c r="A177" s="2"/>
      <c r="B177" s="2"/>
      <c r="C177" s="2"/>
      <c r="D177" s="2"/>
    </row>
    <row r="178" spans="1:4">
      <c r="A178" s="2"/>
      <c r="B178" s="2"/>
      <c r="C178" s="2"/>
      <c r="D178" s="2"/>
    </row>
    <row r="179" spans="1:4">
      <c r="A179" s="2"/>
      <c r="B179" s="2"/>
      <c r="C179" s="2"/>
      <c r="D179" s="2"/>
    </row>
    <row r="180" spans="1:4">
      <c r="A180" s="2"/>
      <c r="B180" s="2"/>
      <c r="C180" s="2"/>
      <c r="D180" s="2"/>
    </row>
    <row r="181" spans="1:4">
      <c r="A181" s="2"/>
      <c r="B181" s="2"/>
      <c r="C181" s="2"/>
      <c r="D181" s="2"/>
    </row>
    <row r="182" spans="1:4">
      <c r="A182" s="2"/>
      <c r="B182" s="2"/>
      <c r="C182" s="2"/>
      <c r="D182" s="2"/>
    </row>
    <row r="183" spans="1:4">
      <c r="A183" s="2"/>
      <c r="B183" s="2"/>
      <c r="C183" s="2"/>
      <c r="D183" s="2"/>
    </row>
    <row r="184" spans="1:4">
      <c r="A184" s="2"/>
      <c r="B184" s="2"/>
      <c r="C184" s="2"/>
      <c r="D184" s="2"/>
    </row>
    <row r="185" spans="1:4">
      <c r="A185" s="2"/>
      <c r="B185" s="2"/>
      <c r="C185" s="2"/>
      <c r="D185" s="2"/>
    </row>
    <row r="186" spans="1:4">
      <c r="A186" s="2"/>
      <c r="B186" s="2"/>
      <c r="C186" s="2"/>
      <c r="D186" s="2"/>
    </row>
    <row r="187" spans="1:4">
      <c r="A187" s="2"/>
      <c r="B187" s="2"/>
      <c r="C187" s="2"/>
      <c r="D187" s="2"/>
    </row>
    <row r="188" spans="1:4">
      <c r="A188" s="2"/>
      <c r="B188" s="2"/>
      <c r="C188" s="2"/>
      <c r="D188" s="2"/>
    </row>
    <row r="189" spans="1:4">
      <c r="A189" s="2"/>
      <c r="B189" s="2"/>
      <c r="C189" s="2"/>
      <c r="D189" s="2"/>
    </row>
    <row r="190" spans="1:4">
      <c r="A190" s="2"/>
      <c r="B190" s="2"/>
      <c r="C190" s="2"/>
      <c r="D190" s="2"/>
    </row>
    <row r="191" spans="1:4">
      <c r="A191" s="2"/>
      <c r="B191" s="2"/>
      <c r="C191" s="2"/>
      <c r="D191" s="2"/>
    </row>
    <row r="192" spans="1:4">
      <c r="A192" s="2"/>
      <c r="B192" s="2"/>
      <c r="C192" s="2"/>
      <c r="D192" s="2"/>
    </row>
    <row r="193" spans="1:4">
      <c r="A193" s="2"/>
      <c r="B193" s="2"/>
      <c r="C193" s="2"/>
      <c r="D193" s="2"/>
    </row>
    <row r="194" spans="1:4">
      <c r="A194" s="2"/>
      <c r="B194" s="2"/>
      <c r="C194" s="2"/>
      <c r="D194" s="2"/>
    </row>
    <row r="195" spans="1:4">
      <c r="A195" s="2"/>
      <c r="B195" s="2"/>
      <c r="C195" s="2"/>
      <c r="D195" s="2"/>
    </row>
    <row r="196" spans="1:4">
      <c r="A196" s="2"/>
      <c r="B196" s="2"/>
      <c r="C196" s="2"/>
      <c r="D196" s="2"/>
    </row>
    <row r="197" spans="1:4">
      <c r="A197" s="2"/>
      <c r="B197" s="2"/>
      <c r="C197" s="2"/>
      <c r="D197" s="2"/>
    </row>
    <row r="198" spans="1:4">
      <c r="A198" s="2"/>
      <c r="B198" s="2"/>
      <c r="C198" s="2"/>
      <c r="D198" s="2"/>
    </row>
    <row r="199" spans="1:4">
      <c r="A199" s="2"/>
      <c r="B199" s="2"/>
      <c r="C199" s="2"/>
      <c r="D199" s="2"/>
    </row>
    <row r="200" spans="1:4">
      <c r="A200" s="2"/>
      <c r="B200" s="2"/>
      <c r="C200" s="2"/>
      <c r="D200" s="2"/>
    </row>
    <row r="201" spans="1:4">
      <c r="A201" s="2"/>
      <c r="B201" s="2"/>
      <c r="C201" s="2"/>
      <c r="D201" s="2"/>
    </row>
    <row r="202" spans="1:4">
      <c r="A202" s="2"/>
      <c r="B202" s="2"/>
      <c r="C202" s="2"/>
      <c r="D202" s="2"/>
    </row>
    <row r="203" spans="1:4">
      <c r="A203" s="2"/>
      <c r="B203" s="2"/>
      <c r="C203" s="2"/>
      <c r="D203" s="2"/>
    </row>
    <row r="204" spans="1:4">
      <c r="A204" s="2"/>
      <c r="B204" s="2"/>
      <c r="C204" s="2"/>
      <c r="D204" s="2"/>
    </row>
    <row r="205" spans="1:4">
      <c r="A205" s="2"/>
      <c r="B205" s="2"/>
      <c r="C205" s="2"/>
      <c r="D205" s="2"/>
    </row>
    <row r="206" spans="1:4">
      <c r="A206" s="2"/>
      <c r="B206" s="2"/>
      <c r="C206" s="2"/>
      <c r="D206" s="2"/>
    </row>
    <row r="207" spans="1:4">
      <c r="A207" s="2"/>
      <c r="B207" s="2"/>
      <c r="C207" s="2"/>
      <c r="D207" s="2"/>
    </row>
    <row r="208" spans="1:4">
      <c r="A208" s="2"/>
      <c r="B208" s="2"/>
      <c r="C208" s="2"/>
      <c r="D208" s="2"/>
    </row>
    <row r="209" spans="1:4">
      <c r="A209" s="2"/>
      <c r="B209" s="2"/>
      <c r="C209" s="2"/>
      <c r="D209" s="2"/>
    </row>
    <row r="210" spans="1:4">
      <c r="A210" s="2"/>
      <c r="B210" s="2"/>
      <c r="C210" s="2"/>
      <c r="D210" s="2"/>
    </row>
    <row r="211" spans="1:4">
      <c r="A211" s="2"/>
      <c r="B211" s="2"/>
      <c r="C211" s="2"/>
      <c r="D211" s="2"/>
    </row>
    <row r="212" spans="1:4">
      <c r="A212" s="2"/>
      <c r="B212" s="2"/>
      <c r="C212" s="2"/>
      <c r="D212" s="2"/>
    </row>
    <row r="213" spans="1:4">
      <c r="A213" s="2"/>
      <c r="B213" s="2"/>
      <c r="C213" s="2"/>
      <c r="D213" s="2"/>
    </row>
    <row r="214" spans="1:4">
      <c r="A214" s="2"/>
      <c r="B214" s="2"/>
      <c r="C214" s="2"/>
      <c r="D214" s="2"/>
    </row>
    <row r="215" spans="1:4">
      <c r="A215" s="2"/>
      <c r="B215" s="2"/>
      <c r="C215" s="2"/>
      <c r="D215" s="2"/>
    </row>
    <row r="216" spans="1:4">
      <c r="A216" s="2"/>
      <c r="B216" s="2"/>
      <c r="C216" s="2"/>
      <c r="D216" s="2"/>
    </row>
    <row r="217" spans="1:4">
      <c r="A217" s="2"/>
      <c r="B217" s="2"/>
      <c r="C217" s="2"/>
      <c r="D217" s="2"/>
    </row>
    <row r="218" spans="1:4">
      <c r="A218" s="2"/>
      <c r="B218" s="2"/>
      <c r="C218" s="2"/>
      <c r="D218" s="2"/>
    </row>
    <row r="219" spans="1:4">
      <c r="A219" s="2"/>
      <c r="B219" s="2"/>
      <c r="C219" s="2"/>
      <c r="D219" s="2"/>
    </row>
    <row r="220" spans="1:4">
      <c r="A220" s="2"/>
      <c r="B220" s="2"/>
      <c r="C220" s="2"/>
      <c r="D220" s="2"/>
    </row>
    <row r="221" spans="1:4">
      <c r="A221" s="2"/>
      <c r="B221" s="2"/>
      <c r="C221" s="2"/>
      <c r="D221" s="2"/>
    </row>
    <row r="222" spans="1:4">
      <c r="A222" s="2"/>
      <c r="B222" s="2"/>
      <c r="C222" s="2"/>
      <c r="D222" s="2"/>
    </row>
    <row r="223" spans="1:4">
      <c r="A223" s="2"/>
      <c r="B223" s="2"/>
      <c r="C223" s="2"/>
      <c r="D223" s="2"/>
    </row>
    <row r="224" spans="1:4">
      <c r="A224" s="2"/>
      <c r="B224" s="2"/>
      <c r="C224" s="2"/>
      <c r="D224" s="2"/>
    </row>
    <row r="225" spans="1:4">
      <c r="A225" s="2"/>
      <c r="B225" s="2"/>
      <c r="C225" s="2"/>
      <c r="D225" s="2"/>
    </row>
    <row r="226" spans="1:4">
      <c r="A226" s="2"/>
      <c r="B226" s="2"/>
      <c r="C226" s="2"/>
      <c r="D226" s="2"/>
    </row>
    <row r="227" spans="1:4">
      <c r="A227" s="2"/>
      <c r="B227" s="2"/>
      <c r="C227" s="2"/>
      <c r="D227" s="2"/>
    </row>
    <row r="228" spans="1:4">
      <c r="A228" s="2"/>
      <c r="B228" s="2"/>
      <c r="C228" s="2"/>
      <c r="D228" s="2"/>
    </row>
    <row r="229" spans="1:4">
      <c r="A229" s="2"/>
      <c r="B229" s="2"/>
      <c r="C229" s="2"/>
      <c r="D229" s="2"/>
    </row>
    <row r="230" spans="1:4">
      <c r="A230" s="2"/>
      <c r="B230" s="2"/>
      <c r="C230" s="2"/>
      <c r="D230" s="2"/>
    </row>
    <row r="231" spans="1:4">
      <c r="A231" s="2"/>
      <c r="B231" s="2"/>
      <c r="C231" s="2"/>
      <c r="D231" s="2"/>
    </row>
    <row r="232" spans="1:4">
      <c r="A232" s="2"/>
      <c r="B232" s="2"/>
      <c r="C232" s="2"/>
      <c r="D232" s="2"/>
    </row>
    <row r="233" spans="1:4">
      <c r="A233" s="2"/>
      <c r="B233" s="2"/>
      <c r="C233" s="2"/>
      <c r="D233" s="2"/>
    </row>
    <row r="234" spans="1:4">
      <c r="A234" s="2"/>
      <c r="B234" s="2"/>
      <c r="C234" s="2"/>
      <c r="D234" s="2"/>
    </row>
    <row r="235" spans="1:4">
      <c r="A235" s="2"/>
      <c r="B235" s="2"/>
      <c r="C235" s="2"/>
      <c r="D235" s="2"/>
    </row>
    <row r="236" spans="1:4">
      <c r="A236" s="2"/>
      <c r="B236" s="2"/>
      <c r="C236" s="2"/>
      <c r="D236" s="2"/>
    </row>
    <row r="237" spans="1:4">
      <c r="A237" s="2"/>
      <c r="B237" s="2"/>
      <c r="C237" s="2"/>
      <c r="D237" s="2"/>
    </row>
    <row r="238" spans="1:4">
      <c r="A238" s="2"/>
      <c r="B238" s="2"/>
      <c r="C238" s="2"/>
      <c r="D238" s="2"/>
    </row>
    <row r="239" spans="1:4">
      <c r="A239" s="2"/>
      <c r="B239" s="2"/>
      <c r="C239" s="2"/>
      <c r="D239" s="2"/>
    </row>
    <row r="240" spans="1:4">
      <c r="A240" s="2"/>
      <c r="B240" s="2"/>
      <c r="C240" s="2"/>
      <c r="D240" s="2"/>
    </row>
    <row r="241" spans="1:4">
      <c r="A241" s="2"/>
      <c r="B241" s="2"/>
      <c r="C241" s="2"/>
      <c r="D241" s="2"/>
    </row>
    <row r="242" spans="1:4">
      <c r="A242" s="2"/>
      <c r="B242" s="2"/>
      <c r="C242" s="2"/>
      <c r="D242" s="2"/>
    </row>
    <row r="243" spans="1:4">
      <c r="A243" s="2"/>
      <c r="B243" s="2"/>
      <c r="C243" s="2"/>
      <c r="D243" s="2"/>
    </row>
    <row r="244" spans="1:4">
      <c r="A244" s="2"/>
      <c r="B244" s="2"/>
      <c r="C244" s="2"/>
      <c r="D244" s="2"/>
    </row>
    <row r="245" spans="1:4">
      <c r="A245" s="2"/>
      <c r="B245" s="2"/>
      <c r="C245" s="2"/>
      <c r="D245" s="2"/>
    </row>
    <row r="246" spans="1:4">
      <c r="A246" s="2"/>
      <c r="B246" s="2"/>
      <c r="C246" s="2"/>
      <c r="D246" s="2"/>
    </row>
    <row r="247" spans="1:4">
      <c r="A247" s="2"/>
      <c r="B247" s="2"/>
      <c r="C247" s="2"/>
      <c r="D247" s="2"/>
    </row>
    <row r="248" spans="1:4">
      <c r="A248" s="2"/>
      <c r="B248" s="2"/>
      <c r="C248" s="2"/>
      <c r="D248" s="2"/>
    </row>
    <row r="249" spans="1:4">
      <c r="A249" s="2"/>
      <c r="B249" s="2"/>
      <c r="C249" s="2"/>
      <c r="D249" s="2"/>
    </row>
    <row r="250" spans="1:4">
      <c r="A250" s="2"/>
      <c r="B250" s="2"/>
      <c r="C250" s="2"/>
      <c r="D250" s="2"/>
    </row>
    <row r="251" spans="1:4">
      <c r="A251" s="2"/>
      <c r="B251" s="2"/>
      <c r="C251" s="2"/>
      <c r="D251" s="2"/>
    </row>
    <row r="252" spans="1:4">
      <c r="A252" s="2"/>
      <c r="B252" s="2"/>
      <c r="C252" s="2"/>
      <c r="D252" s="2"/>
    </row>
    <row r="253" spans="1:4">
      <c r="A253" s="2"/>
      <c r="B253" s="2"/>
      <c r="C253" s="2"/>
      <c r="D253" s="2"/>
    </row>
    <row r="254" spans="1:4">
      <c r="A254" s="2"/>
      <c r="B254" s="2"/>
      <c r="C254" s="2"/>
      <c r="D254" s="2"/>
    </row>
    <row r="255" spans="1:4">
      <c r="A255" s="2"/>
      <c r="B255" s="2"/>
      <c r="C255" s="2"/>
      <c r="D255" s="2"/>
    </row>
    <row r="256" spans="1:4">
      <c r="A256" s="2"/>
      <c r="B256" s="2"/>
      <c r="C256" s="2"/>
      <c r="D256" s="2"/>
    </row>
    <row r="257" spans="1:4">
      <c r="A257" s="2"/>
      <c r="B257" s="2"/>
      <c r="C257" s="2"/>
      <c r="D257" s="2"/>
    </row>
    <row r="258" spans="1:4">
      <c r="A258" s="2"/>
      <c r="B258" s="2"/>
      <c r="C258" s="2"/>
      <c r="D258" s="2"/>
    </row>
    <row r="259" spans="1:4">
      <c r="A259" s="2"/>
      <c r="B259" s="2"/>
      <c r="C259" s="2"/>
      <c r="D259" s="2"/>
    </row>
    <row r="260" spans="1:4">
      <c r="A260" s="2"/>
      <c r="B260" s="2"/>
      <c r="C260" s="2"/>
      <c r="D260" s="2"/>
    </row>
    <row r="261" spans="1:4">
      <c r="A261" s="2"/>
      <c r="B261" s="2"/>
      <c r="C261" s="2"/>
      <c r="D261" s="2"/>
    </row>
    <row r="262" spans="1:4">
      <c r="A262" s="2"/>
      <c r="B262" s="2"/>
      <c r="C262" s="2"/>
      <c r="D262" s="2"/>
    </row>
    <row r="263" spans="1:4">
      <c r="A263" s="2"/>
      <c r="B263" s="2"/>
      <c r="C263" s="2"/>
      <c r="D263" s="2"/>
    </row>
    <row r="264" spans="1:4">
      <c r="A264" s="2"/>
      <c r="B264" s="2"/>
      <c r="C264" s="2"/>
      <c r="D264" s="2"/>
    </row>
    <row r="265" spans="1:4">
      <c r="A265" s="2"/>
      <c r="B265" s="2"/>
      <c r="C265" s="2"/>
      <c r="D265" s="2"/>
    </row>
    <row r="266" spans="1:4">
      <c r="A266" s="2"/>
      <c r="B266" s="2"/>
      <c r="C266" s="2"/>
      <c r="D266" s="2"/>
    </row>
    <row r="267" spans="1:4">
      <c r="A267" s="2"/>
      <c r="B267" s="2"/>
      <c r="C267" s="2"/>
      <c r="D267" s="2"/>
    </row>
    <row r="268" spans="1:4">
      <c r="A268" s="2"/>
      <c r="B268" s="2"/>
      <c r="C268" s="2"/>
      <c r="D268" s="2"/>
    </row>
    <row r="269" spans="1:4">
      <c r="A269" s="2"/>
      <c r="B269" s="2"/>
      <c r="C269" s="2"/>
      <c r="D269" s="2"/>
    </row>
    <row r="270" spans="1:4">
      <c r="A270" s="2"/>
      <c r="B270" s="2"/>
      <c r="C270" s="2"/>
      <c r="D270" s="2"/>
    </row>
    <row r="271" spans="1:4">
      <c r="A271" s="2"/>
      <c r="B271" s="2"/>
      <c r="C271" s="2"/>
      <c r="D271" s="2"/>
    </row>
    <row r="272" spans="1:4">
      <c r="A272" s="2"/>
      <c r="B272" s="2"/>
      <c r="C272" s="2"/>
      <c r="D272" s="2"/>
    </row>
    <row r="273" spans="1:4">
      <c r="A273" s="2"/>
      <c r="B273" s="2"/>
      <c r="C273" s="2"/>
      <c r="D273" s="2"/>
    </row>
    <row r="274" spans="1:4">
      <c r="A274" s="2"/>
      <c r="B274" s="2"/>
      <c r="C274" s="2"/>
      <c r="D274" s="2"/>
    </row>
    <row r="275" spans="1:4">
      <c r="A275" s="2"/>
      <c r="B275" s="2"/>
      <c r="C275" s="2"/>
      <c r="D275" s="2"/>
    </row>
    <row r="276" spans="1:4">
      <c r="A276" s="2"/>
      <c r="B276" s="2"/>
      <c r="C276" s="2"/>
      <c r="D276" s="2"/>
    </row>
    <row r="277" spans="1:4">
      <c r="A277" s="2"/>
      <c r="B277" s="2"/>
      <c r="C277" s="2"/>
      <c r="D277" s="2"/>
    </row>
    <row r="278" spans="1:4">
      <c r="A278" s="2"/>
      <c r="B278" s="2"/>
      <c r="C278" s="2"/>
      <c r="D278" s="2"/>
    </row>
    <row r="279" spans="1:4">
      <c r="A279" s="2"/>
      <c r="B279" s="2"/>
      <c r="C279" s="2"/>
      <c r="D279" s="2"/>
    </row>
    <row r="280" spans="1:4">
      <c r="A280" s="2"/>
      <c r="B280" s="2"/>
      <c r="C280" s="2"/>
      <c r="D280" s="2"/>
    </row>
    <row r="281" spans="1:4">
      <c r="A281" s="2"/>
      <c r="B281" s="2"/>
      <c r="C281" s="2"/>
      <c r="D281" s="2"/>
    </row>
    <row r="282" spans="1:4">
      <c r="A282" s="2"/>
      <c r="B282" s="2"/>
      <c r="C282" s="2"/>
      <c r="D282" s="2"/>
    </row>
    <row r="283" spans="1:4">
      <c r="A283" s="2"/>
      <c r="B283" s="2"/>
      <c r="C283" s="2"/>
      <c r="D283" s="2"/>
    </row>
    <row r="284" spans="1:4">
      <c r="A284" s="2"/>
      <c r="B284" s="2"/>
      <c r="C284" s="2"/>
      <c r="D284" s="2"/>
    </row>
    <row r="285" spans="1:4">
      <c r="A285" s="2"/>
      <c r="B285" s="2"/>
      <c r="C285" s="2"/>
      <c r="D285" s="2"/>
    </row>
    <row r="286" spans="1:4">
      <c r="A286" s="2"/>
      <c r="B286" s="2"/>
      <c r="C286" s="2"/>
      <c r="D286" s="2"/>
    </row>
    <row r="287" spans="1:4">
      <c r="A287" s="2"/>
      <c r="B287" s="2"/>
      <c r="C287" s="2"/>
      <c r="D287" s="2"/>
    </row>
    <row r="288" spans="1:4">
      <c r="A288" s="2"/>
      <c r="B288" s="2"/>
      <c r="C288" s="2"/>
      <c r="D288" s="2"/>
    </row>
    <row r="289" spans="1:4">
      <c r="A289" s="2"/>
      <c r="B289" s="2"/>
      <c r="C289" s="2"/>
      <c r="D289" s="2"/>
    </row>
    <row r="290" spans="1:4">
      <c r="A290" s="2"/>
      <c r="B290" s="2"/>
      <c r="C290" s="2"/>
      <c r="D290" s="2"/>
    </row>
    <row r="291" spans="1:4">
      <c r="A291" s="2"/>
      <c r="B291" s="2"/>
      <c r="C291" s="2"/>
      <c r="D291" s="2"/>
    </row>
    <row r="292" spans="1:4">
      <c r="A292" s="2"/>
      <c r="B292" s="2"/>
      <c r="C292" s="2"/>
      <c r="D292" s="2"/>
    </row>
    <row r="293" spans="1:4">
      <c r="A293" s="2"/>
      <c r="B293" s="2"/>
      <c r="C293" s="2"/>
      <c r="D293" s="2"/>
    </row>
    <row r="294" spans="1:4">
      <c r="A294" s="2"/>
      <c r="B294" s="2"/>
      <c r="C294" s="2"/>
      <c r="D294" s="2"/>
    </row>
    <row r="295" spans="1:4">
      <c r="A295" s="2"/>
      <c r="B295" s="2"/>
      <c r="C295" s="2"/>
      <c r="D295" s="2"/>
    </row>
    <row r="296" spans="1:4">
      <c r="A296" s="2"/>
      <c r="B296" s="2"/>
      <c r="C296" s="2"/>
      <c r="D296" s="2"/>
    </row>
    <row r="297" spans="1:4">
      <c r="A297" s="2"/>
      <c r="B297" s="2"/>
      <c r="C297" s="2"/>
      <c r="D297" s="2"/>
    </row>
    <row r="298" spans="1:4">
      <c r="A298" s="2"/>
      <c r="B298" s="2"/>
      <c r="C298" s="2"/>
      <c r="D298" s="2"/>
    </row>
    <row r="299" spans="1:4">
      <c r="A299" s="2"/>
      <c r="B299" s="2"/>
      <c r="C299" s="2"/>
      <c r="D299" s="2"/>
    </row>
    <row r="300" spans="1:4">
      <c r="A300" s="2"/>
      <c r="B300" s="2"/>
      <c r="C300" s="2"/>
      <c r="D300" s="2"/>
    </row>
    <row r="301" spans="1:4">
      <c r="A301" s="2"/>
      <c r="B301" s="2"/>
      <c r="C301" s="2"/>
      <c r="D301" s="2"/>
    </row>
    <row r="302" spans="1:4">
      <c r="A302" s="2"/>
      <c r="B302" s="2"/>
      <c r="C302" s="2"/>
      <c r="D302" s="2"/>
    </row>
    <row r="303" spans="1:4">
      <c r="A303" s="2"/>
      <c r="B303" s="2"/>
      <c r="C303" s="2"/>
      <c r="D303" s="2"/>
    </row>
    <row r="304" spans="1:4">
      <c r="A304" s="2"/>
      <c r="B304" s="2"/>
      <c r="C304" s="2"/>
      <c r="D304" s="2"/>
    </row>
    <row r="305" spans="1:4">
      <c r="A305" s="2"/>
      <c r="B305" s="2"/>
      <c r="C305" s="2"/>
      <c r="D305" s="2"/>
    </row>
    <row r="306" spans="1:4">
      <c r="A306" s="2"/>
      <c r="B306" s="2"/>
      <c r="C306" s="2"/>
      <c r="D306" s="2"/>
    </row>
    <row r="307" spans="1:4">
      <c r="A307" s="2"/>
      <c r="B307" s="2"/>
      <c r="C307" s="2"/>
      <c r="D307" s="2"/>
    </row>
    <row r="308" spans="1:4">
      <c r="A308" s="2"/>
      <c r="B308" s="2"/>
      <c r="C308" s="2"/>
      <c r="D308" s="2"/>
    </row>
    <row r="309" spans="1:4">
      <c r="A309" s="2"/>
      <c r="B309" s="2"/>
      <c r="C309" s="2"/>
      <c r="D309" s="2"/>
    </row>
    <row r="310" spans="1:4">
      <c r="A310" s="2"/>
      <c r="B310" s="2"/>
      <c r="C310" s="2"/>
      <c r="D310" s="2"/>
    </row>
    <row r="311" spans="1:4">
      <c r="A311" s="2"/>
      <c r="B311" s="2"/>
      <c r="C311" s="2"/>
      <c r="D311" s="2"/>
    </row>
    <row r="312" spans="1:4">
      <c r="A312" s="2"/>
      <c r="B312" s="2"/>
      <c r="C312" s="2"/>
      <c r="D312" s="2"/>
    </row>
    <row r="313" spans="1:4">
      <c r="A313" s="2"/>
      <c r="B313" s="2"/>
      <c r="C313" s="2"/>
      <c r="D313" s="2"/>
    </row>
    <row r="314" spans="1:4">
      <c r="A314" s="2"/>
      <c r="B314" s="2"/>
      <c r="C314" s="2"/>
      <c r="D314" s="2"/>
    </row>
  </sheetData>
  <mergeCells count="4">
    <mergeCell ref="B2:G2"/>
    <mergeCell ref="B3:G3"/>
    <mergeCell ref="B4:G4"/>
    <mergeCell ref="A5:D5"/>
  </mergeCells>
  <pageMargins left="0.59055118110236238" right="0" top="0.74803149606299213" bottom="0" header="0" footer="0"/>
  <pageSetup paperSize="9" scale="84" firstPageNumber="42949672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G307"/>
  <sheetViews>
    <sheetView zoomScale="70" workbookViewId="0">
      <selection activeCell="E11" sqref="E11"/>
    </sheetView>
  </sheetViews>
  <sheetFormatPr defaultColWidth="9.109375" defaultRowHeight="13.2"/>
  <cols>
    <col min="1" max="1" width="5.88671875" style="15" customWidth="1"/>
    <col min="2" max="2" width="62.88671875" style="15" customWidth="1"/>
    <col min="3" max="3" width="12" style="16" customWidth="1"/>
    <col min="4" max="5" width="16.6640625" style="15" customWidth="1"/>
    <col min="6" max="7" width="16.6640625" style="17" customWidth="1"/>
    <col min="8" max="16384" width="9.109375" style="15"/>
  </cols>
  <sheetData>
    <row r="1" spans="1:7" s="18" customFormat="1" ht="13.5" customHeight="1">
      <c r="A1" s="19"/>
      <c r="B1" s="19"/>
      <c r="C1" s="20"/>
      <c r="D1" s="19"/>
      <c r="E1" s="19"/>
      <c r="F1" s="21"/>
      <c r="G1" s="21"/>
    </row>
    <row r="2" spans="1:7" s="18" customFormat="1" ht="15.15" customHeight="1">
      <c r="A2" s="214" t="s">
        <v>28</v>
      </c>
      <c r="B2" s="214"/>
      <c r="C2" s="214"/>
      <c r="D2" s="214"/>
      <c r="E2" s="214"/>
      <c r="F2" s="214"/>
      <c r="G2" s="214"/>
    </row>
    <row r="3" spans="1:7" s="18" customFormat="1" ht="15.15" customHeight="1">
      <c r="A3" s="214" t="s">
        <v>1</v>
      </c>
      <c r="B3" s="214"/>
      <c r="C3" s="214"/>
      <c r="D3" s="214"/>
      <c r="E3" s="214"/>
      <c r="F3" s="214"/>
      <c r="G3" s="214"/>
    </row>
    <row r="4" spans="1:7" s="18" customFormat="1" ht="13.5" customHeight="1">
      <c r="A4" s="19" t="s">
        <v>29</v>
      </c>
      <c r="B4" s="215" t="s">
        <v>30</v>
      </c>
      <c r="C4" s="215"/>
      <c r="D4" s="215"/>
      <c r="E4" s="215"/>
      <c r="F4" s="215"/>
      <c r="G4" s="215"/>
    </row>
    <row r="5" spans="1:7" s="18" customFormat="1" ht="13.5" customHeight="1">
      <c r="A5" s="19"/>
      <c r="B5" s="19"/>
      <c r="C5" s="20"/>
      <c r="D5" s="20"/>
      <c r="E5" s="20"/>
      <c r="F5" s="21"/>
      <c r="G5" s="21"/>
    </row>
    <row r="6" spans="1:7" s="18" customFormat="1" ht="41.4" customHeight="1">
      <c r="A6" s="22" t="s">
        <v>3</v>
      </c>
      <c r="B6" s="23" t="s">
        <v>4</v>
      </c>
      <c r="C6" s="24" t="s">
        <v>5</v>
      </c>
      <c r="D6" s="4" t="s">
        <v>6</v>
      </c>
      <c r="E6" s="4" t="s">
        <v>7</v>
      </c>
      <c r="F6" s="4" t="s">
        <v>8</v>
      </c>
      <c r="G6" s="4" t="s">
        <v>9</v>
      </c>
    </row>
    <row r="7" spans="1:7" s="18" customFormat="1" ht="36" customHeight="1">
      <c r="A7" s="5" t="s">
        <v>10</v>
      </c>
      <c r="B7" s="25" t="s">
        <v>31</v>
      </c>
      <c r="C7" s="26"/>
      <c r="D7" s="27">
        <f>SUM(D8:D12)+D17+D18</f>
        <v>25.700000000000003</v>
      </c>
      <c r="E7" s="27">
        <f>SUM(E8:E12)+E17+E18+0.01</f>
        <v>27.481460000000002</v>
      </c>
      <c r="F7" s="27">
        <f t="shared" ref="F7:F18" si="0">E7-D7</f>
        <v>1.7814599999999992</v>
      </c>
      <c r="G7" s="27">
        <f t="shared" ref="G7:G18" si="1">E7/D7*100-100</f>
        <v>6.931750972762643</v>
      </c>
    </row>
    <row r="8" spans="1:7" s="18" customFormat="1" ht="36" customHeight="1">
      <c r="A8" s="6">
        <v>1</v>
      </c>
      <c r="B8" s="7" t="s">
        <v>12</v>
      </c>
      <c r="C8" s="6" t="s">
        <v>13</v>
      </c>
      <c r="D8" s="9">
        <v>5.72</v>
      </c>
      <c r="E8" s="9">
        <v>6.18</v>
      </c>
      <c r="F8" s="9">
        <f t="shared" si="0"/>
        <v>0.45999999999999996</v>
      </c>
      <c r="G8" s="9">
        <f t="shared" si="1"/>
        <v>8.0419580419580399</v>
      </c>
    </row>
    <row r="9" spans="1:7" s="18" customFormat="1" ht="36" customHeight="1">
      <c r="A9" s="6">
        <f t="shared" ref="A9:A10" si="2">A8+1</f>
        <v>2</v>
      </c>
      <c r="B9" s="7" t="s">
        <v>32</v>
      </c>
      <c r="C9" s="6" t="s">
        <v>13</v>
      </c>
      <c r="D9" s="9">
        <v>6.33</v>
      </c>
      <c r="E9" s="9">
        <v>6.4</v>
      </c>
      <c r="F9" s="9">
        <f t="shared" si="0"/>
        <v>7.0000000000000284E-2</v>
      </c>
      <c r="G9" s="9">
        <f t="shared" si="1"/>
        <v>1.1058451816745816</v>
      </c>
    </row>
    <row r="10" spans="1:7" s="18" customFormat="1" ht="36" customHeight="1">
      <c r="A10" s="6">
        <f t="shared" si="2"/>
        <v>3</v>
      </c>
      <c r="B10" s="7" t="s">
        <v>17</v>
      </c>
      <c r="C10" s="6" t="s">
        <v>13</v>
      </c>
      <c r="D10" s="9">
        <v>3.3</v>
      </c>
      <c r="E10" s="9">
        <f>D10*1.3762</f>
        <v>4.5414599999999998</v>
      </c>
      <c r="F10" s="9">
        <f t="shared" si="0"/>
        <v>1.24146</v>
      </c>
      <c r="G10" s="9">
        <f t="shared" si="1"/>
        <v>37.620000000000005</v>
      </c>
    </row>
    <row r="11" spans="1:7" s="18" customFormat="1" ht="36" customHeight="1">
      <c r="A11" s="6">
        <f>A10+1</f>
        <v>4</v>
      </c>
      <c r="B11" s="7" t="s">
        <v>18</v>
      </c>
      <c r="C11" s="8" t="s">
        <v>13</v>
      </c>
      <c r="D11" s="11">
        <v>0.67</v>
      </c>
      <c r="E11" s="11">
        <v>0.67</v>
      </c>
      <c r="F11" s="11">
        <f t="shared" si="0"/>
        <v>0</v>
      </c>
      <c r="G11" s="11">
        <f t="shared" si="1"/>
        <v>0</v>
      </c>
    </row>
    <row r="12" spans="1:7" s="3" customFormat="1" ht="36" customHeight="1">
      <c r="A12" s="6">
        <v>5</v>
      </c>
      <c r="B12" s="28" t="s">
        <v>33</v>
      </c>
      <c r="C12" s="6" t="s">
        <v>13</v>
      </c>
      <c r="D12" s="11">
        <f>SUM(D13:D16)</f>
        <v>9.0399999999999991</v>
      </c>
      <c r="E12" s="11">
        <f>SUM(E13:E16)</f>
        <v>9.0399999999999991</v>
      </c>
      <c r="F12" s="11">
        <f t="shared" si="0"/>
        <v>0</v>
      </c>
      <c r="G12" s="11">
        <f t="shared" si="1"/>
        <v>0</v>
      </c>
    </row>
    <row r="13" spans="1:7" s="3" customFormat="1" ht="36" customHeight="1">
      <c r="A13" s="8"/>
      <c r="B13" s="29" t="s">
        <v>22</v>
      </c>
      <c r="C13" s="30" t="s">
        <v>13</v>
      </c>
      <c r="D13" s="31">
        <v>3.05</v>
      </c>
      <c r="E13" s="31">
        <v>3.05</v>
      </c>
      <c r="F13" s="31">
        <f t="shared" si="0"/>
        <v>0</v>
      </c>
      <c r="G13" s="31">
        <f t="shared" si="1"/>
        <v>0</v>
      </c>
    </row>
    <row r="14" spans="1:7" s="3" customFormat="1" ht="36" customHeight="1">
      <c r="A14" s="8"/>
      <c r="B14" s="32" t="s">
        <v>23</v>
      </c>
      <c r="C14" s="13" t="s">
        <v>13</v>
      </c>
      <c r="D14" s="31">
        <v>5.6</v>
      </c>
      <c r="E14" s="31">
        <v>5.6</v>
      </c>
      <c r="F14" s="31">
        <f t="shared" si="0"/>
        <v>0</v>
      </c>
      <c r="G14" s="31">
        <f t="shared" si="1"/>
        <v>0</v>
      </c>
    </row>
    <row r="15" spans="1:7" s="3" customFormat="1" ht="36" customHeight="1">
      <c r="A15" s="8"/>
      <c r="B15" s="33" t="s">
        <v>24</v>
      </c>
      <c r="C15" s="13" t="s">
        <v>13</v>
      </c>
      <c r="D15" s="31">
        <v>0.3</v>
      </c>
      <c r="E15" s="31">
        <v>0.3</v>
      </c>
      <c r="F15" s="31">
        <f t="shared" si="0"/>
        <v>0</v>
      </c>
      <c r="G15" s="31">
        <f t="shared" si="1"/>
        <v>0</v>
      </c>
    </row>
    <row r="16" spans="1:7" s="3" customFormat="1" ht="36" customHeight="1">
      <c r="A16" s="8"/>
      <c r="B16" s="33" t="s">
        <v>25</v>
      </c>
      <c r="C16" s="13" t="s">
        <v>13</v>
      </c>
      <c r="D16" s="34">
        <v>0.09</v>
      </c>
      <c r="E16" s="34">
        <v>0.09</v>
      </c>
      <c r="F16" s="31">
        <f t="shared" si="0"/>
        <v>0</v>
      </c>
      <c r="G16" s="31">
        <f t="shared" si="1"/>
        <v>0</v>
      </c>
    </row>
    <row r="17" spans="1:7" s="3" customFormat="1" ht="36" customHeight="1">
      <c r="A17" s="8">
        <v>6</v>
      </c>
      <c r="B17" s="35" t="s">
        <v>26</v>
      </c>
      <c r="C17" s="8" t="s">
        <v>13</v>
      </c>
      <c r="D17" s="11">
        <v>0.44</v>
      </c>
      <c r="E17" s="11">
        <v>0.44</v>
      </c>
      <c r="F17" s="11">
        <f t="shared" si="0"/>
        <v>0</v>
      </c>
      <c r="G17" s="11">
        <f t="shared" si="1"/>
        <v>0</v>
      </c>
    </row>
    <row r="18" spans="1:7" s="18" customFormat="1" ht="36" customHeight="1">
      <c r="A18" s="6">
        <v>7</v>
      </c>
      <c r="B18" s="10" t="s">
        <v>27</v>
      </c>
      <c r="C18" s="6" t="s">
        <v>13</v>
      </c>
      <c r="D18" s="36">
        <v>0.2</v>
      </c>
      <c r="E18" s="36">
        <v>0.2</v>
      </c>
      <c r="F18" s="36">
        <f t="shared" si="0"/>
        <v>0</v>
      </c>
      <c r="G18" s="36">
        <f t="shared" si="1"/>
        <v>0</v>
      </c>
    </row>
    <row r="19" spans="1:7">
      <c r="A19" s="19"/>
      <c r="B19" s="19"/>
      <c r="C19" s="20"/>
      <c r="D19" s="19"/>
      <c r="E19" s="19"/>
    </row>
    <row r="20" spans="1:7">
      <c r="A20" s="19"/>
      <c r="B20" s="19"/>
      <c r="C20" s="20"/>
      <c r="D20" s="19"/>
      <c r="E20" s="19"/>
    </row>
    <row r="21" spans="1:7">
      <c r="A21" s="19"/>
      <c r="B21" s="19"/>
      <c r="C21" s="20"/>
      <c r="D21" s="19"/>
      <c r="E21" s="19"/>
    </row>
    <row r="22" spans="1:7">
      <c r="A22" s="19"/>
      <c r="B22" s="19"/>
      <c r="C22" s="20"/>
      <c r="D22" s="19"/>
      <c r="E22" s="19"/>
    </row>
    <row r="23" spans="1:7">
      <c r="A23" s="19"/>
      <c r="B23" s="19"/>
      <c r="C23" s="20"/>
      <c r="D23" s="19"/>
      <c r="E23" s="19"/>
    </row>
    <row r="24" spans="1:7">
      <c r="A24" s="19"/>
      <c r="B24" s="19"/>
      <c r="C24" s="20"/>
      <c r="D24" s="19"/>
      <c r="E24" s="19"/>
    </row>
    <row r="25" spans="1:7">
      <c r="A25" s="19"/>
      <c r="B25" s="19"/>
      <c r="C25" s="20"/>
      <c r="D25" s="19"/>
      <c r="E25" s="19"/>
    </row>
    <row r="26" spans="1:7">
      <c r="A26" s="19"/>
      <c r="B26" s="19"/>
      <c r="C26" s="20"/>
      <c r="D26" s="19"/>
      <c r="E26" s="19"/>
    </row>
    <row r="27" spans="1:7">
      <c r="A27" s="19"/>
      <c r="B27" s="19"/>
      <c r="C27" s="20"/>
      <c r="D27" s="19"/>
      <c r="E27" s="19"/>
    </row>
    <row r="28" spans="1:7">
      <c r="A28" s="19"/>
      <c r="B28" s="19"/>
      <c r="C28" s="20"/>
      <c r="D28" s="19"/>
      <c r="E28" s="19"/>
    </row>
    <row r="29" spans="1:7">
      <c r="A29" s="19"/>
      <c r="B29" s="19"/>
      <c r="C29" s="20"/>
      <c r="D29" s="19"/>
      <c r="E29" s="19"/>
    </row>
    <row r="30" spans="1:7">
      <c r="A30" s="19"/>
      <c r="B30" s="19"/>
      <c r="C30" s="20"/>
      <c r="D30" s="19"/>
      <c r="E30" s="19"/>
    </row>
    <row r="31" spans="1:7">
      <c r="A31" s="19"/>
      <c r="B31" s="19"/>
      <c r="C31" s="20"/>
      <c r="D31" s="19"/>
      <c r="E31" s="19"/>
    </row>
    <row r="32" spans="1:7">
      <c r="A32" s="19"/>
      <c r="B32" s="19"/>
      <c r="C32" s="20"/>
      <c r="D32" s="19"/>
      <c r="E32" s="19"/>
    </row>
    <row r="33" spans="1:5">
      <c r="A33" s="19"/>
      <c r="B33" s="19"/>
      <c r="C33" s="20"/>
      <c r="D33" s="19"/>
      <c r="E33" s="19"/>
    </row>
    <row r="34" spans="1:5">
      <c r="A34" s="19"/>
      <c r="B34" s="19"/>
      <c r="C34" s="20"/>
      <c r="D34" s="19"/>
      <c r="E34" s="19"/>
    </row>
    <row r="35" spans="1:5">
      <c r="A35" s="19"/>
      <c r="B35" s="19"/>
      <c r="C35" s="20"/>
      <c r="D35" s="19"/>
      <c r="E35" s="19"/>
    </row>
    <row r="36" spans="1:5">
      <c r="A36" s="19"/>
      <c r="B36" s="19"/>
      <c r="C36" s="20"/>
      <c r="D36" s="19"/>
      <c r="E36" s="19"/>
    </row>
    <row r="37" spans="1:5">
      <c r="A37" s="19"/>
      <c r="B37" s="19"/>
      <c r="C37" s="20"/>
      <c r="D37" s="19"/>
      <c r="E37" s="19"/>
    </row>
    <row r="38" spans="1:5">
      <c r="A38" s="19"/>
      <c r="B38" s="19"/>
      <c r="C38" s="20"/>
      <c r="D38" s="19"/>
      <c r="E38" s="19"/>
    </row>
    <row r="39" spans="1:5">
      <c r="A39" s="19"/>
      <c r="B39" s="19"/>
      <c r="C39" s="20"/>
      <c r="D39" s="19"/>
      <c r="E39" s="19"/>
    </row>
    <row r="40" spans="1:5">
      <c r="A40" s="19"/>
      <c r="B40" s="19"/>
      <c r="C40" s="20"/>
      <c r="D40" s="19"/>
      <c r="E40" s="19"/>
    </row>
    <row r="41" spans="1:5">
      <c r="A41" s="19"/>
      <c r="B41" s="19"/>
      <c r="C41" s="20"/>
      <c r="D41" s="19"/>
      <c r="E41" s="19"/>
    </row>
    <row r="42" spans="1:5">
      <c r="A42" s="19"/>
      <c r="B42" s="19"/>
      <c r="C42" s="20"/>
      <c r="D42" s="19"/>
      <c r="E42" s="19"/>
    </row>
    <row r="43" spans="1:5">
      <c r="A43" s="19"/>
      <c r="B43" s="19"/>
      <c r="C43" s="20"/>
      <c r="D43" s="19"/>
      <c r="E43" s="19"/>
    </row>
    <row r="44" spans="1:5">
      <c r="A44" s="19"/>
      <c r="B44" s="19"/>
      <c r="C44" s="20"/>
      <c r="D44" s="19"/>
      <c r="E44" s="19"/>
    </row>
    <row r="45" spans="1:5">
      <c r="A45" s="19"/>
      <c r="B45" s="19"/>
      <c r="C45" s="20"/>
      <c r="D45" s="19"/>
      <c r="E45" s="19"/>
    </row>
    <row r="46" spans="1:5">
      <c r="A46" s="19"/>
      <c r="B46" s="19"/>
      <c r="C46" s="20"/>
      <c r="D46" s="19"/>
      <c r="E46" s="19"/>
    </row>
    <row r="47" spans="1:5">
      <c r="A47" s="19"/>
      <c r="B47" s="19"/>
      <c r="C47" s="20"/>
      <c r="D47" s="19"/>
      <c r="E47" s="19"/>
    </row>
    <row r="48" spans="1:5">
      <c r="A48" s="19"/>
      <c r="B48" s="19"/>
      <c r="C48" s="20"/>
      <c r="D48" s="19"/>
      <c r="E48" s="19"/>
    </row>
    <row r="49" spans="1:5">
      <c r="A49" s="19"/>
      <c r="B49" s="19"/>
      <c r="C49" s="20"/>
      <c r="D49" s="19"/>
      <c r="E49" s="19"/>
    </row>
    <row r="50" spans="1:5">
      <c r="A50" s="19"/>
      <c r="B50" s="19"/>
      <c r="C50" s="20"/>
      <c r="D50" s="19"/>
      <c r="E50" s="19"/>
    </row>
    <row r="51" spans="1:5">
      <c r="A51" s="19"/>
      <c r="B51" s="19"/>
      <c r="C51" s="20"/>
      <c r="D51" s="19"/>
      <c r="E51" s="19"/>
    </row>
    <row r="52" spans="1:5">
      <c r="A52" s="19"/>
      <c r="B52" s="19"/>
      <c r="C52" s="20"/>
      <c r="D52" s="19"/>
      <c r="E52" s="19"/>
    </row>
    <row r="53" spans="1:5">
      <c r="A53" s="19"/>
      <c r="B53" s="19"/>
      <c r="C53" s="20"/>
      <c r="D53" s="19"/>
      <c r="E53" s="19"/>
    </row>
    <row r="54" spans="1:5">
      <c r="A54" s="19"/>
      <c r="B54" s="19"/>
      <c r="C54" s="20"/>
      <c r="D54" s="19"/>
      <c r="E54" s="19"/>
    </row>
    <row r="55" spans="1:5">
      <c r="A55" s="19"/>
      <c r="B55" s="19"/>
      <c r="C55" s="20"/>
      <c r="D55" s="19"/>
      <c r="E55" s="19"/>
    </row>
    <row r="56" spans="1:5">
      <c r="A56" s="19"/>
      <c r="B56" s="19"/>
      <c r="C56" s="20"/>
      <c r="D56" s="19"/>
      <c r="E56" s="19"/>
    </row>
    <row r="57" spans="1:5">
      <c r="A57" s="19"/>
      <c r="B57" s="19"/>
      <c r="C57" s="20"/>
      <c r="D57" s="19"/>
      <c r="E57" s="19"/>
    </row>
    <row r="58" spans="1:5">
      <c r="A58" s="19"/>
      <c r="B58" s="19"/>
      <c r="C58" s="20"/>
      <c r="D58" s="19"/>
      <c r="E58" s="19"/>
    </row>
    <row r="59" spans="1:5">
      <c r="A59" s="19"/>
      <c r="B59" s="19"/>
      <c r="C59" s="20"/>
      <c r="D59" s="19"/>
      <c r="E59" s="19"/>
    </row>
    <row r="60" spans="1:5">
      <c r="A60" s="19"/>
      <c r="B60" s="19"/>
      <c r="C60" s="20"/>
      <c r="D60" s="19"/>
      <c r="E60" s="19"/>
    </row>
    <row r="61" spans="1:5">
      <c r="A61" s="19"/>
      <c r="B61" s="19"/>
      <c r="C61" s="20"/>
      <c r="D61" s="19"/>
      <c r="E61" s="19"/>
    </row>
    <row r="62" spans="1:5">
      <c r="A62" s="19"/>
      <c r="B62" s="19"/>
      <c r="C62" s="20"/>
      <c r="D62" s="19"/>
      <c r="E62" s="19"/>
    </row>
    <row r="63" spans="1:5">
      <c r="A63" s="19"/>
      <c r="B63" s="19"/>
      <c r="C63" s="20"/>
      <c r="D63" s="19"/>
      <c r="E63" s="19"/>
    </row>
    <row r="64" spans="1:5">
      <c r="A64" s="19"/>
      <c r="B64" s="19"/>
      <c r="C64" s="20"/>
      <c r="D64" s="19"/>
      <c r="E64" s="19"/>
    </row>
    <row r="65" spans="1:5">
      <c r="A65" s="19"/>
      <c r="B65" s="19"/>
      <c r="C65" s="20"/>
      <c r="D65" s="19"/>
      <c r="E65" s="19"/>
    </row>
    <row r="66" spans="1:5">
      <c r="A66" s="19"/>
      <c r="B66" s="19"/>
      <c r="C66" s="20"/>
      <c r="D66" s="19"/>
      <c r="E66" s="19"/>
    </row>
    <row r="67" spans="1:5">
      <c r="A67" s="19"/>
      <c r="B67" s="19"/>
      <c r="C67" s="20"/>
      <c r="D67" s="19"/>
      <c r="E67" s="19"/>
    </row>
    <row r="68" spans="1:5">
      <c r="A68" s="19"/>
      <c r="B68" s="19"/>
      <c r="C68" s="20"/>
      <c r="D68" s="19"/>
      <c r="E68" s="19"/>
    </row>
    <row r="69" spans="1:5">
      <c r="A69" s="19"/>
      <c r="B69" s="19"/>
      <c r="C69" s="20"/>
      <c r="D69" s="19"/>
      <c r="E69" s="19"/>
    </row>
    <row r="70" spans="1:5">
      <c r="A70" s="19"/>
      <c r="B70" s="19"/>
      <c r="C70" s="20"/>
      <c r="D70" s="19"/>
      <c r="E70" s="19"/>
    </row>
    <row r="71" spans="1:5">
      <c r="A71" s="19"/>
      <c r="B71" s="19"/>
      <c r="C71" s="20"/>
      <c r="D71" s="19"/>
      <c r="E71" s="19"/>
    </row>
    <row r="72" spans="1:5">
      <c r="A72" s="19"/>
      <c r="B72" s="19"/>
      <c r="C72" s="20"/>
      <c r="D72" s="19"/>
      <c r="E72" s="19"/>
    </row>
    <row r="73" spans="1:5">
      <c r="A73" s="19"/>
      <c r="B73" s="19"/>
      <c r="C73" s="20"/>
      <c r="D73" s="19"/>
      <c r="E73" s="19"/>
    </row>
    <row r="74" spans="1:5">
      <c r="A74" s="19"/>
      <c r="B74" s="19"/>
      <c r="C74" s="20"/>
      <c r="D74" s="19"/>
      <c r="E74" s="19"/>
    </row>
    <row r="75" spans="1:5">
      <c r="A75" s="19"/>
      <c r="B75" s="19"/>
      <c r="C75" s="20"/>
      <c r="D75" s="19"/>
      <c r="E75" s="19"/>
    </row>
    <row r="76" spans="1:5">
      <c r="A76" s="19"/>
      <c r="B76" s="19"/>
      <c r="C76" s="20"/>
      <c r="D76" s="19"/>
      <c r="E76" s="19"/>
    </row>
    <row r="77" spans="1:5">
      <c r="A77" s="19"/>
      <c r="B77" s="19"/>
      <c r="C77" s="20"/>
      <c r="D77" s="19"/>
      <c r="E77" s="19"/>
    </row>
    <row r="78" spans="1:5">
      <c r="A78" s="19"/>
      <c r="B78" s="19"/>
      <c r="C78" s="20"/>
      <c r="D78" s="19"/>
      <c r="E78" s="19"/>
    </row>
    <row r="79" spans="1:5">
      <c r="A79" s="19"/>
      <c r="B79" s="19"/>
      <c r="C79" s="20"/>
      <c r="D79" s="19"/>
      <c r="E79" s="19"/>
    </row>
    <row r="80" spans="1:5">
      <c r="A80" s="19"/>
      <c r="B80" s="19"/>
      <c r="C80" s="20"/>
      <c r="D80" s="19"/>
      <c r="E80" s="19"/>
    </row>
    <row r="81" spans="1:5">
      <c r="A81" s="19"/>
      <c r="B81" s="19"/>
      <c r="C81" s="20"/>
      <c r="D81" s="19"/>
      <c r="E81" s="19"/>
    </row>
    <row r="82" spans="1:5">
      <c r="A82" s="19"/>
      <c r="B82" s="19"/>
      <c r="C82" s="20"/>
      <c r="D82" s="19"/>
      <c r="E82" s="19"/>
    </row>
    <row r="83" spans="1:5">
      <c r="A83" s="19"/>
      <c r="B83" s="19"/>
      <c r="C83" s="20"/>
      <c r="D83" s="19"/>
      <c r="E83" s="19"/>
    </row>
    <row r="84" spans="1:5">
      <c r="A84" s="19"/>
      <c r="B84" s="19"/>
      <c r="C84" s="20"/>
      <c r="D84" s="19"/>
      <c r="E84" s="19"/>
    </row>
    <row r="85" spans="1:5">
      <c r="A85" s="19"/>
      <c r="B85" s="19"/>
      <c r="C85" s="20"/>
      <c r="D85" s="19"/>
      <c r="E85" s="19"/>
    </row>
    <row r="86" spans="1:5">
      <c r="A86" s="19"/>
      <c r="B86" s="19"/>
      <c r="C86" s="20"/>
      <c r="D86" s="19"/>
      <c r="E86" s="19"/>
    </row>
    <row r="87" spans="1:5">
      <c r="A87" s="19"/>
      <c r="B87" s="19"/>
      <c r="C87" s="20"/>
      <c r="D87" s="19"/>
      <c r="E87" s="19"/>
    </row>
    <row r="88" spans="1:5">
      <c r="A88" s="19"/>
      <c r="B88" s="19"/>
      <c r="C88" s="20"/>
      <c r="D88" s="19"/>
      <c r="E88" s="19"/>
    </row>
    <row r="89" spans="1:5">
      <c r="A89" s="19"/>
      <c r="B89" s="19"/>
      <c r="C89" s="20"/>
      <c r="D89" s="19"/>
      <c r="E89" s="19"/>
    </row>
    <row r="90" spans="1:5">
      <c r="A90" s="19"/>
      <c r="B90" s="19"/>
      <c r="C90" s="20"/>
      <c r="D90" s="19"/>
      <c r="E90" s="19"/>
    </row>
    <row r="91" spans="1:5">
      <c r="A91" s="19"/>
      <c r="B91" s="19"/>
      <c r="C91" s="20"/>
      <c r="D91" s="19"/>
      <c r="E91" s="19"/>
    </row>
    <row r="92" spans="1:5">
      <c r="A92" s="19"/>
      <c r="B92" s="19"/>
      <c r="C92" s="20"/>
      <c r="D92" s="19"/>
      <c r="E92" s="19"/>
    </row>
    <row r="93" spans="1:5">
      <c r="A93" s="19"/>
      <c r="B93" s="19"/>
      <c r="C93" s="20"/>
      <c r="D93" s="19"/>
      <c r="E93" s="19"/>
    </row>
    <row r="94" spans="1:5">
      <c r="A94" s="19"/>
      <c r="B94" s="19"/>
      <c r="C94" s="20"/>
      <c r="D94" s="19"/>
      <c r="E94" s="19"/>
    </row>
    <row r="95" spans="1:5">
      <c r="A95" s="19"/>
      <c r="B95" s="19"/>
      <c r="C95" s="20"/>
      <c r="D95" s="19"/>
      <c r="E95" s="19"/>
    </row>
    <row r="96" spans="1:5">
      <c r="A96" s="19"/>
      <c r="B96" s="19"/>
      <c r="C96" s="20"/>
      <c r="D96" s="19"/>
      <c r="E96" s="19"/>
    </row>
    <row r="97" spans="1:5">
      <c r="A97" s="19"/>
      <c r="B97" s="19"/>
      <c r="C97" s="20"/>
      <c r="D97" s="19"/>
      <c r="E97" s="19"/>
    </row>
    <row r="98" spans="1:5">
      <c r="A98" s="19"/>
      <c r="B98" s="19"/>
      <c r="C98" s="20"/>
      <c r="D98" s="19"/>
      <c r="E98" s="19"/>
    </row>
    <row r="99" spans="1:5">
      <c r="A99" s="19"/>
      <c r="B99" s="19"/>
      <c r="C99" s="20"/>
      <c r="D99" s="19"/>
      <c r="E99" s="19"/>
    </row>
    <row r="100" spans="1:5">
      <c r="A100" s="19"/>
      <c r="B100" s="19"/>
      <c r="C100" s="20"/>
      <c r="D100" s="19"/>
      <c r="E100" s="19"/>
    </row>
    <row r="101" spans="1:5">
      <c r="A101" s="19"/>
      <c r="B101" s="19"/>
      <c r="C101" s="20"/>
      <c r="D101" s="19"/>
      <c r="E101" s="19"/>
    </row>
    <row r="102" spans="1:5">
      <c r="A102" s="19"/>
      <c r="B102" s="19"/>
      <c r="C102" s="20"/>
      <c r="D102" s="19"/>
      <c r="E102" s="19"/>
    </row>
    <row r="103" spans="1:5">
      <c r="A103" s="19"/>
      <c r="B103" s="19"/>
      <c r="C103" s="20"/>
      <c r="D103" s="19"/>
      <c r="E103" s="19"/>
    </row>
    <row r="104" spans="1:5">
      <c r="A104" s="19"/>
      <c r="B104" s="19"/>
      <c r="C104" s="20"/>
      <c r="D104" s="19"/>
      <c r="E104" s="19"/>
    </row>
    <row r="105" spans="1:5">
      <c r="A105" s="19"/>
      <c r="B105" s="19"/>
      <c r="C105" s="20"/>
      <c r="D105" s="19"/>
      <c r="E105" s="19"/>
    </row>
    <row r="106" spans="1:5">
      <c r="A106" s="19"/>
      <c r="B106" s="19"/>
      <c r="C106" s="20"/>
      <c r="D106" s="19"/>
      <c r="E106" s="19"/>
    </row>
    <row r="107" spans="1:5">
      <c r="A107" s="19"/>
      <c r="B107" s="19"/>
      <c r="C107" s="20"/>
      <c r="D107" s="19"/>
      <c r="E107" s="19"/>
    </row>
    <row r="108" spans="1:5">
      <c r="A108" s="19"/>
      <c r="B108" s="19"/>
      <c r="C108" s="20"/>
      <c r="D108" s="19"/>
      <c r="E108" s="19"/>
    </row>
    <row r="109" spans="1:5">
      <c r="A109" s="19"/>
      <c r="B109" s="19"/>
      <c r="C109" s="20"/>
      <c r="D109" s="19"/>
      <c r="E109" s="19"/>
    </row>
    <row r="110" spans="1:5">
      <c r="A110" s="19"/>
      <c r="B110" s="19"/>
      <c r="C110" s="20"/>
      <c r="D110" s="19"/>
      <c r="E110" s="19"/>
    </row>
    <row r="111" spans="1:5">
      <c r="A111" s="19"/>
      <c r="B111" s="19"/>
      <c r="C111" s="20"/>
      <c r="D111" s="19"/>
      <c r="E111" s="19"/>
    </row>
    <row r="112" spans="1:5">
      <c r="A112" s="19"/>
      <c r="B112" s="19"/>
      <c r="C112" s="20"/>
      <c r="D112" s="19"/>
      <c r="E112" s="19"/>
    </row>
    <row r="113" spans="1:5">
      <c r="A113" s="19"/>
      <c r="B113" s="19"/>
      <c r="C113" s="20"/>
      <c r="D113" s="19"/>
      <c r="E113" s="19"/>
    </row>
    <row r="114" spans="1:5">
      <c r="A114" s="19"/>
      <c r="B114" s="19"/>
      <c r="C114" s="20"/>
      <c r="D114" s="19"/>
      <c r="E114" s="19"/>
    </row>
    <row r="115" spans="1:5">
      <c r="A115" s="19"/>
      <c r="B115" s="19"/>
      <c r="C115" s="20"/>
      <c r="D115" s="19"/>
      <c r="E115" s="19"/>
    </row>
    <row r="116" spans="1:5">
      <c r="A116" s="19"/>
      <c r="B116" s="19"/>
      <c r="C116" s="20"/>
      <c r="D116" s="19"/>
      <c r="E116" s="19"/>
    </row>
    <row r="117" spans="1:5">
      <c r="A117" s="19"/>
      <c r="B117" s="19"/>
      <c r="C117" s="20"/>
      <c r="D117" s="19"/>
      <c r="E117" s="19"/>
    </row>
    <row r="118" spans="1:5">
      <c r="A118" s="19"/>
      <c r="B118" s="19"/>
      <c r="C118" s="20"/>
      <c r="D118" s="19"/>
      <c r="E118" s="19"/>
    </row>
    <row r="119" spans="1:5">
      <c r="A119" s="19"/>
      <c r="B119" s="19"/>
      <c r="C119" s="20"/>
      <c r="D119" s="19"/>
      <c r="E119" s="19"/>
    </row>
    <row r="120" spans="1:5">
      <c r="A120" s="19"/>
      <c r="B120" s="19"/>
      <c r="C120" s="20"/>
      <c r="D120" s="19"/>
      <c r="E120" s="19"/>
    </row>
    <row r="121" spans="1:5">
      <c r="A121" s="19"/>
      <c r="B121" s="19"/>
      <c r="C121" s="20"/>
      <c r="D121" s="19"/>
      <c r="E121" s="19"/>
    </row>
    <row r="122" spans="1:5">
      <c r="A122" s="19"/>
      <c r="B122" s="19"/>
      <c r="C122" s="20"/>
      <c r="D122" s="19"/>
      <c r="E122" s="19"/>
    </row>
    <row r="123" spans="1:5">
      <c r="A123" s="19"/>
      <c r="B123" s="19"/>
      <c r="C123" s="20"/>
      <c r="D123" s="19"/>
      <c r="E123" s="19"/>
    </row>
    <row r="124" spans="1:5">
      <c r="A124" s="19"/>
      <c r="B124" s="19"/>
      <c r="C124" s="20"/>
      <c r="D124" s="19"/>
      <c r="E124" s="19"/>
    </row>
    <row r="125" spans="1:5">
      <c r="A125" s="19"/>
      <c r="B125" s="19"/>
      <c r="C125" s="20"/>
      <c r="D125" s="19"/>
      <c r="E125" s="19"/>
    </row>
    <row r="126" spans="1:5">
      <c r="A126" s="19"/>
      <c r="B126" s="19"/>
      <c r="C126" s="20"/>
      <c r="D126" s="19"/>
      <c r="E126" s="19"/>
    </row>
    <row r="127" spans="1:5">
      <c r="A127" s="19"/>
      <c r="B127" s="19"/>
      <c r="C127" s="20"/>
      <c r="D127" s="19"/>
      <c r="E127" s="19"/>
    </row>
    <row r="128" spans="1:5">
      <c r="A128" s="19"/>
      <c r="B128" s="19"/>
      <c r="C128" s="20"/>
      <c r="D128" s="19"/>
      <c r="E128" s="19"/>
    </row>
    <row r="129" spans="1:5">
      <c r="A129" s="19"/>
      <c r="B129" s="19"/>
      <c r="C129" s="20"/>
      <c r="D129" s="19"/>
      <c r="E129" s="19"/>
    </row>
    <row r="130" spans="1:5">
      <c r="A130" s="19"/>
      <c r="B130" s="19"/>
      <c r="C130" s="20"/>
      <c r="D130" s="19"/>
      <c r="E130" s="19"/>
    </row>
    <row r="131" spans="1:5">
      <c r="A131" s="19"/>
      <c r="B131" s="19"/>
      <c r="C131" s="20"/>
      <c r="D131" s="19"/>
      <c r="E131" s="19"/>
    </row>
    <row r="132" spans="1:5">
      <c r="A132" s="19"/>
      <c r="B132" s="19"/>
      <c r="C132" s="20"/>
      <c r="D132" s="19"/>
      <c r="E132" s="19"/>
    </row>
    <row r="133" spans="1:5">
      <c r="A133" s="19"/>
      <c r="B133" s="19"/>
      <c r="C133" s="20"/>
      <c r="D133" s="19"/>
      <c r="E133" s="19"/>
    </row>
    <row r="134" spans="1:5">
      <c r="A134" s="19"/>
      <c r="B134" s="19"/>
      <c r="C134" s="20"/>
      <c r="D134" s="19"/>
      <c r="E134" s="19"/>
    </row>
    <row r="135" spans="1:5">
      <c r="A135" s="19"/>
      <c r="B135" s="19"/>
      <c r="C135" s="20"/>
      <c r="D135" s="19"/>
      <c r="E135" s="19"/>
    </row>
    <row r="136" spans="1:5">
      <c r="A136" s="19"/>
      <c r="B136" s="19"/>
      <c r="C136" s="20"/>
      <c r="D136" s="19"/>
      <c r="E136" s="19"/>
    </row>
    <row r="137" spans="1:5">
      <c r="A137" s="19"/>
      <c r="B137" s="19"/>
      <c r="C137" s="20"/>
      <c r="D137" s="19"/>
      <c r="E137" s="19"/>
    </row>
    <row r="138" spans="1:5">
      <c r="A138" s="19"/>
      <c r="B138" s="19"/>
      <c r="C138" s="20"/>
      <c r="D138" s="19"/>
      <c r="E138" s="19"/>
    </row>
    <row r="139" spans="1:5">
      <c r="A139" s="19"/>
      <c r="B139" s="19"/>
      <c r="C139" s="20"/>
      <c r="D139" s="19"/>
      <c r="E139" s="19"/>
    </row>
    <row r="140" spans="1:5">
      <c r="A140" s="19"/>
      <c r="B140" s="19"/>
      <c r="C140" s="20"/>
      <c r="D140" s="19"/>
      <c r="E140" s="19"/>
    </row>
    <row r="141" spans="1:5">
      <c r="A141" s="19"/>
      <c r="B141" s="19"/>
      <c r="C141" s="20"/>
      <c r="D141" s="19"/>
      <c r="E141" s="19"/>
    </row>
    <row r="142" spans="1:5">
      <c r="A142" s="19"/>
      <c r="B142" s="19"/>
      <c r="C142" s="20"/>
      <c r="D142" s="19"/>
      <c r="E142" s="19"/>
    </row>
    <row r="143" spans="1:5">
      <c r="A143" s="19"/>
      <c r="B143" s="19"/>
      <c r="C143" s="20"/>
      <c r="D143" s="19"/>
      <c r="E143" s="19"/>
    </row>
    <row r="144" spans="1:5">
      <c r="A144" s="19"/>
      <c r="B144" s="19"/>
      <c r="C144" s="20"/>
      <c r="D144" s="19"/>
      <c r="E144" s="19"/>
    </row>
    <row r="145" spans="1:5">
      <c r="A145" s="19"/>
      <c r="B145" s="19"/>
      <c r="C145" s="20"/>
      <c r="D145" s="19"/>
      <c r="E145" s="19"/>
    </row>
    <row r="146" spans="1:5">
      <c r="A146" s="19"/>
      <c r="B146" s="19"/>
      <c r="C146" s="20"/>
      <c r="D146" s="19"/>
      <c r="E146" s="19"/>
    </row>
    <row r="147" spans="1:5">
      <c r="A147" s="19"/>
      <c r="B147" s="19"/>
      <c r="C147" s="20"/>
      <c r="D147" s="19"/>
      <c r="E147" s="19"/>
    </row>
    <row r="148" spans="1:5">
      <c r="A148" s="19"/>
      <c r="B148" s="19"/>
      <c r="C148" s="20"/>
      <c r="D148" s="19"/>
      <c r="E148" s="19"/>
    </row>
    <row r="149" spans="1:5">
      <c r="A149" s="19"/>
      <c r="B149" s="19"/>
      <c r="C149" s="20"/>
      <c r="D149" s="19"/>
      <c r="E149" s="19"/>
    </row>
    <row r="150" spans="1:5">
      <c r="A150" s="19"/>
      <c r="B150" s="19"/>
      <c r="C150" s="20"/>
      <c r="D150" s="19"/>
      <c r="E150" s="19"/>
    </row>
    <row r="151" spans="1:5">
      <c r="A151" s="19"/>
      <c r="B151" s="19"/>
      <c r="C151" s="20"/>
      <c r="D151" s="19"/>
      <c r="E151" s="19"/>
    </row>
    <row r="152" spans="1:5">
      <c r="A152" s="19"/>
      <c r="B152" s="19"/>
      <c r="C152" s="20"/>
      <c r="D152" s="19"/>
      <c r="E152" s="19"/>
    </row>
    <row r="153" spans="1:5">
      <c r="A153" s="19"/>
      <c r="B153" s="19"/>
      <c r="C153" s="20"/>
      <c r="D153" s="19"/>
      <c r="E153" s="19"/>
    </row>
    <row r="154" spans="1:5">
      <c r="A154" s="19"/>
      <c r="B154" s="19"/>
      <c r="C154" s="20"/>
      <c r="D154" s="19"/>
      <c r="E154" s="19"/>
    </row>
    <row r="155" spans="1:5">
      <c r="A155" s="19"/>
      <c r="B155" s="19"/>
      <c r="C155" s="20"/>
      <c r="D155" s="19"/>
      <c r="E155" s="19"/>
    </row>
    <row r="156" spans="1:5">
      <c r="A156" s="19"/>
      <c r="B156" s="19"/>
      <c r="C156" s="20"/>
      <c r="D156" s="19"/>
      <c r="E156" s="19"/>
    </row>
    <row r="157" spans="1:5">
      <c r="A157" s="19"/>
      <c r="B157" s="19"/>
      <c r="C157" s="20"/>
      <c r="D157" s="19"/>
      <c r="E157" s="19"/>
    </row>
    <row r="158" spans="1:5">
      <c r="A158" s="19"/>
      <c r="B158" s="19"/>
      <c r="C158" s="20"/>
      <c r="D158" s="19"/>
      <c r="E158" s="19"/>
    </row>
    <row r="159" spans="1:5">
      <c r="A159" s="19"/>
      <c r="B159" s="19"/>
      <c r="C159" s="20"/>
      <c r="D159" s="19"/>
      <c r="E159" s="19"/>
    </row>
    <row r="160" spans="1:5">
      <c r="A160" s="19"/>
      <c r="B160" s="19"/>
      <c r="C160" s="20"/>
      <c r="D160" s="19"/>
      <c r="E160" s="19"/>
    </row>
    <row r="161" spans="1:5">
      <c r="A161" s="19"/>
      <c r="B161" s="19"/>
      <c r="C161" s="20"/>
      <c r="D161" s="19"/>
      <c r="E161" s="19"/>
    </row>
    <row r="162" spans="1:5">
      <c r="A162" s="19"/>
      <c r="B162" s="19"/>
      <c r="C162" s="20"/>
      <c r="D162" s="19"/>
      <c r="E162" s="19"/>
    </row>
    <row r="163" spans="1:5">
      <c r="A163" s="19"/>
      <c r="B163" s="19"/>
      <c r="C163" s="20"/>
      <c r="D163" s="19"/>
      <c r="E163" s="19"/>
    </row>
    <row r="164" spans="1:5">
      <c r="A164" s="19"/>
      <c r="B164" s="19"/>
      <c r="C164" s="20"/>
      <c r="D164" s="19"/>
      <c r="E164" s="19"/>
    </row>
    <row r="165" spans="1:5">
      <c r="A165" s="19"/>
      <c r="B165" s="19"/>
      <c r="C165" s="20"/>
      <c r="D165" s="19"/>
      <c r="E165" s="19"/>
    </row>
    <row r="166" spans="1:5">
      <c r="A166" s="19"/>
      <c r="B166" s="19"/>
      <c r="C166" s="20"/>
      <c r="D166" s="19"/>
      <c r="E166" s="19"/>
    </row>
    <row r="167" spans="1:5">
      <c r="A167" s="19"/>
      <c r="B167" s="19"/>
      <c r="C167" s="20"/>
      <c r="D167" s="19"/>
      <c r="E167" s="19"/>
    </row>
    <row r="168" spans="1:5">
      <c r="A168" s="19"/>
      <c r="B168" s="19"/>
      <c r="C168" s="20"/>
      <c r="D168" s="19"/>
      <c r="E168" s="19"/>
    </row>
    <row r="169" spans="1:5">
      <c r="A169" s="19"/>
      <c r="B169" s="19"/>
      <c r="C169" s="20"/>
      <c r="D169" s="19"/>
      <c r="E169" s="19"/>
    </row>
    <row r="170" spans="1:5">
      <c r="A170" s="19"/>
      <c r="B170" s="19"/>
      <c r="C170" s="20"/>
      <c r="D170" s="19"/>
      <c r="E170" s="19"/>
    </row>
    <row r="171" spans="1:5">
      <c r="A171" s="19"/>
      <c r="B171" s="19"/>
      <c r="C171" s="20"/>
      <c r="D171" s="19"/>
      <c r="E171" s="19"/>
    </row>
    <row r="172" spans="1:5">
      <c r="A172" s="19"/>
      <c r="B172" s="19"/>
      <c r="C172" s="20"/>
      <c r="D172" s="19"/>
      <c r="E172" s="19"/>
    </row>
    <row r="173" spans="1:5">
      <c r="A173" s="19"/>
      <c r="B173" s="19"/>
      <c r="C173" s="20"/>
      <c r="D173" s="19"/>
      <c r="E173" s="19"/>
    </row>
    <row r="174" spans="1:5">
      <c r="A174" s="19"/>
      <c r="B174" s="19"/>
      <c r="C174" s="20"/>
      <c r="D174" s="19"/>
      <c r="E174" s="19"/>
    </row>
    <row r="175" spans="1:5">
      <c r="A175" s="19"/>
      <c r="B175" s="19"/>
      <c r="C175" s="20"/>
      <c r="D175" s="19"/>
      <c r="E175" s="19"/>
    </row>
    <row r="176" spans="1:5">
      <c r="A176" s="19"/>
      <c r="B176" s="19"/>
      <c r="C176" s="20"/>
      <c r="D176" s="19"/>
      <c r="E176" s="19"/>
    </row>
    <row r="177" spans="1:5">
      <c r="A177" s="19"/>
      <c r="B177" s="19"/>
      <c r="C177" s="20"/>
      <c r="D177" s="19"/>
      <c r="E177" s="19"/>
    </row>
    <row r="178" spans="1:5">
      <c r="A178" s="19"/>
      <c r="B178" s="19"/>
      <c r="C178" s="20"/>
      <c r="D178" s="19"/>
      <c r="E178" s="19"/>
    </row>
    <row r="179" spans="1:5">
      <c r="A179" s="19"/>
      <c r="B179" s="19"/>
      <c r="C179" s="20"/>
      <c r="D179" s="19"/>
      <c r="E179" s="19"/>
    </row>
    <row r="180" spans="1:5">
      <c r="A180" s="19"/>
      <c r="B180" s="19"/>
      <c r="C180" s="20"/>
      <c r="D180" s="19"/>
      <c r="E180" s="19"/>
    </row>
    <row r="181" spans="1:5">
      <c r="A181" s="19"/>
      <c r="B181" s="19"/>
      <c r="C181" s="20"/>
      <c r="D181" s="19"/>
      <c r="E181" s="19"/>
    </row>
    <row r="182" spans="1:5">
      <c r="A182" s="19"/>
      <c r="B182" s="19"/>
      <c r="C182" s="20"/>
      <c r="D182" s="19"/>
      <c r="E182" s="19"/>
    </row>
    <row r="183" spans="1:5">
      <c r="A183" s="19"/>
      <c r="B183" s="19"/>
      <c r="C183" s="20"/>
      <c r="D183" s="19"/>
      <c r="E183" s="19"/>
    </row>
    <row r="184" spans="1:5">
      <c r="A184" s="19"/>
      <c r="B184" s="19"/>
      <c r="C184" s="20"/>
      <c r="D184" s="19"/>
      <c r="E184" s="19"/>
    </row>
    <row r="185" spans="1:5">
      <c r="A185" s="19"/>
      <c r="B185" s="19"/>
      <c r="C185" s="20"/>
      <c r="D185" s="19"/>
      <c r="E185" s="19"/>
    </row>
    <row r="186" spans="1:5">
      <c r="A186" s="19"/>
      <c r="B186" s="19"/>
      <c r="C186" s="20"/>
      <c r="D186" s="19"/>
      <c r="E186" s="19"/>
    </row>
    <row r="187" spans="1:5">
      <c r="A187" s="19"/>
      <c r="B187" s="19"/>
      <c r="C187" s="20"/>
      <c r="D187" s="19"/>
      <c r="E187" s="19"/>
    </row>
    <row r="188" spans="1:5">
      <c r="A188" s="19"/>
      <c r="B188" s="19"/>
      <c r="C188" s="20"/>
      <c r="D188" s="19"/>
      <c r="E188" s="19"/>
    </row>
    <row r="189" spans="1:5">
      <c r="A189" s="19"/>
      <c r="B189" s="19"/>
      <c r="C189" s="20"/>
      <c r="D189" s="19"/>
      <c r="E189" s="19"/>
    </row>
    <row r="190" spans="1:5">
      <c r="A190" s="19"/>
      <c r="B190" s="19"/>
      <c r="C190" s="20"/>
      <c r="D190" s="19"/>
      <c r="E190" s="19"/>
    </row>
    <row r="191" spans="1:5">
      <c r="A191" s="19"/>
      <c r="B191" s="19"/>
      <c r="C191" s="20"/>
      <c r="D191" s="19"/>
      <c r="E191" s="19"/>
    </row>
    <row r="192" spans="1:5">
      <c r="A192" s="19"/>
      <c r="B192" s="19"/>
      <c r="C192" s="20"/>
      <c r="D192" s="19"/>
      <c r="E192" s="19"/>
    </row>
    <row r="193" spans="1:5">
      <c r="A193" s="19"/>
      <c r="B193" s="19"/>
      <c r="C193" s="20"/>
      <c r="D193" s="19"/>
      <c r="E193" s="19"/>
    </row>
    <row r="194" spans="1:5">
      <c r="A194" s="19"/>
      <c r="B194" s="19"/>
      <c r="C194" s="20"/>
      <c r="D194" s="19"/>
      <c r="E194" s="19"/>
    </row>
    <row r="195" spans="1:5">
      <c r="A195" s="19"/>
      <c r="B195" s="19"/>
      <c r="C195" s="20"/>
      <c r="D195" s="19"/>
      <c r="E195" s="19"/>
    </row>
    <row r="196" spans="1:5">
      <c r="A196" s="19"/>
      <c r="B196" s="19"/>
      <c r="C196" s="20"/>
      <c r="D196" s="19"/>
      <c r="E196" s="19"/>
    </row>
    <row r="197" spans="1:5">
      <c r="A197" s="19"/>
      <c r="B197" s="19"/>
      <c r="C197" s="20"/>
      <c r="D197" s="19"/>
      <c r="E197" s="19"/>
    </row>
    <row r="198" spans="1:5">
      <c r="A198" s="19"/>
      <c r="B198" s="19"/>
      <c r="C198" s="20"/>
      <c r="D198" s="19"/>
      <c r="E198" s="19"/>
    </row>
    <row r="199" spans="1:5">
      <c r="A199" s="19"/>
      <c r="B199" s="19"/>
      <c r="C199" s="20"/>
      <c r="D199" s="19"/>
      <c r="E199" s="19"/>
    </row>
    <row r="200" spans="1:5">
      <c r="A200" s="19"/>
      <c r="B200" s="19"/>
      <c r="C200" s="20"/>
      <c r="D200" s="19"/>
      <c r="E200" s="19"/>
    </row>
    <row r="201" spans="1:5">
      <c r="A201" s="19"/>
      <c r="B201" s="19"/>
      <c r="C201" s="20"/>
      <c r="D201" s="19"/>
      <c r="E201" s="19"/>
    </row>
    <row r="202" spans="1:5">
      <c r="A202" s="19"/>
      <c r="B202" s="19"/>
      <c r="C202" s="20"/>
      <c r="D202" s="19"/>
      <c r="E202" s="19"/>
    </row>
    <row r="203" spans="1:5">
      <c r="A203" s="19"/>
      <c r="B203" s="19"/>
      <c r="C203" s="20"/>
      <c r="D203" s="19"/>
      <c r="E203" s="19"/>
    </row>
    <row r="204" spans="1:5">
      <c r="A204" s="19"/>
      <c r="B204" s="19"/>
      <c r="C204" s="20"/>
      <c r="D204" s="19"/>
      <c r="E204" s="19"/>
    </row>
    <row r="205" spans="1:5">
      <c r="A205" s="19"/>
      <c r="B205" s="19"/>
      <c r="C205" s="20"/>
      <c r="D205" s="19"/>
      <c r="E205" s="19"/>
    </row>
    <row r="206" spans="1:5">
      <c r="A206" s="19"/>
      <c r="B206" s="19"/>
      <c r="C206" s="20"/>
      <c r="D206" s="19"/>
      <c r="E206" s="19"/>
    </row>
    <row r="207" spans="1:5">
      <c r="A207" s="19"/>
      <c r="B207" s="19"/>
      <c r="C207" s="20"/>
      <c r="D207" s="19"/>
      <c r="E207" s="19"/>
    </row>
    <row r="208" spans="1:5">
      <c r="A208" s="19"/>
      <c r="B208" s="19"/>
      <c r="C208" s="20"/>
      <c r="D208" s="19"/>
      <c r="E208" s="19"/>
    </row>
    <row r="209" spans="1:5">
      <c r="A209" s="19"/>
      <c r="B209" s="19"/>
      <c r="C209" s="20"/>
      <c r="D209" s="19"/>
      <c r="E209" s="19"/>
    </row>
    <row r="210" spans="1:5">
      <c r="A210" s="19"/>
      <c r="B210" s="19"/>
      <c r="C210" s="20"/>
      <c r="D210" s="19"/>
      <c r="E210" s="19"/>
    </row>
    <row r="211" spans="1:5">
      <c r="A211" s="19"/>
      <c r="B211" s="19"/>
      <c r="C211" s="20"/>
      <c r="D211" s="19"/>
      <c r="E211" s="19"/>
    </row>
    <row r="212" spans="1:5">
      <c r="A212" s="19"/>
      <c r="B212" s="19"/>
      <c r="C212" s="20"/>
      <c r="D212" s="19"/>
      <c r="E212" s="19"/>
    </row>
    <row r="213" spans="1:5">
      <c r="A213" s="19"/>
      <c r="B213" s="19"/>
      <c r="C213" s="20"/>
      <c r="D213" s="19"/>
      <c r="E213" s="19"/>
    </row>
    <row r="214" spans="1:5">
      <c r="A214" s="19"/>
      <c r="B214" s="19"/>
      <c r="C214" s="20"/>
      <c r="D214" s="19"/>
      <c r="E214" s="19"/>
    </row>
    <row r="215" spans="1:5">
      <c r="A215" s="19"/>
      <c r="B215" s="19"/>
      <c r="C215" s="20"/>
      <c r="D215" s="19"/>
      <c r="E215" s="19"/>
    </row>
    <row r="216" spans="1:5">
      <c r="A216" s="19"/>
      <c r="B216" s="19"/>
      <c r="C216" s="20"/>
      <c r="D216" s="19"/>
      <c r="E216" s="19"/>
    </row>
    <row r="217" spans="1:5">
      <c r="A217" s="19"/>
      <c r="B217" s="19"/>
      <c r="C217" s="20"/>
      <c r="D217" s="19"/>
      <c r="E217" s="19"/>
    </row>
    <row r="218" spans="1:5">
      <c r="A218" s="19"/>
      <c r="B218" s="19"/>
      <c r="C218" s="20"/>
      <c r="D218" s="19"/>
      <c r="E218" s="19"/>
    </row>
    <row r="219" spans="1:5">
      <c r="A219" s="19"/>
      <c r="B219" s="19"/>
      <c r="C219" s="20"/>
      <c r="D219" s="19"/>
      <c r="E219" s="19"/>
    </row>
    <row r="220" spans="1:5">
      <c r="A220" s="19"/>
      <c r="B220" s="19"/>
      <c r="C220" s="20"/>
      <c r="D220" s="19"/>
      <c r="E220" s="19"/>
    </row>
    <row r="221" spans="1:5">
      <c r="A221" s="19"/>
      <c r="B221" s="19"/>
      <c r="C221" s="20"/>
      <c r="D221" s="19"/>
      <c r="E221" s="19"/>
    </row>
    <row r="222" spans="1:5">
      <c r="A222" s="19"/>
      <c r="B222" s="19"/>
      <c r="C222" s="20"/>
      <c r="D222" s="19"/>
      <c r="E222" s="19"/>
    </row>
    <row r="223" spans="1:5">
      <c r="A223" s="19"/>
      <c r="B223" s="19"/>
      <c r="C223" s="20"/>
      <c r="D223" s="19"/>
      <c r="E223" s="19"/>
    </row>
    <row r="224" spans="1:5">
      <c r="A224" s="19"/>
      <c r="B224" s="19"/>
      <c r="C224" s="20"/>
      <c r="D224" s="19"/>
      <c r="E224" s="19"/>
    </row>
    <row r="225" spans="1:5">
      <c r="A225" s="19"/>
      <c r="B225" s="19"/>
      <c r="C225" s="20"/>
      <c r="D225" s="19"/>
      <c r="E225" s="19"/>
    </row>
    <row r="226" spans="1:5">
      <c r="A226" s="19"/>
      <c r="B226" s="19"/>
      <c r="C226" s="20"/>
      <c r="D226" s="19"/>
      <c r="E226" s="19"/>
    </row>
    <row r="227" spans="1:5">
      <c r="A227" s="19"/>
      <c r="B227" s="19"/>
      <c r="C227" s="20"/>
      <c r="D227" s="19"/>
      <c r="E227" s="19"/>
    </row>
    <row r="228" spans="1:5">
      <c r="A228" s="19"/>
      <c r="B228" s="19"/>
      <c r="C228" s="20"/>
      <c r="D228" s="19"/>
      <c r="E228" s="19"/>
    </row>
    <row r="229" spans="1:5">
      <c r="A229" s="19"/>
      <c r="B229" s="19"/>
      <c r="C229" s="20"/>
      <c r="D229" s="19"/>
      <c r="E229" s="19"/>
    </row>
    <row r="230" spans="1:5">
      <c r="A230" s="19"/>
      <c r="B230" s="19"/>
      <c r="C230" s="20"/>
      <c r="D230" s="19"/>
      <c r="E230" s="19"/>
    </row>
    <row r="231" spans="1:5">
      <c r="A231" s="19"/>
      <c r="B231" s="19"/>
      <c r="C231" s="20"/>
      <c r="D231" s="19"/>
      <c r="E231" s="19"/>
    </row>
    <row r="232" spans="1:5">
      <c r="A232" s="19"/>
      <c r="B232" s="19"/>
      <c r="C232" s="20"/>
      <c r="D232" s="19"/>
      <c r="E232" s="19"/>
    </row>
    <row r="233" spans="1:5">
      <c r="A233" s="19"/>
      <c r="B233" s="19"/>
      <c r="C233" s="20"/>
      <c r="D233" s="19"/>
      <c r="E233" s="19"/>
    </row>
    <row r="234" spans="1:5">
      <c r="A234" s="19"/>
      <c r="B234" s="19"/>
      <c r="C234" s="20"/>
      <c r="D234" s="19"/>
      <c r="E234" s="19"/>
    </row>
    <row r="235" spans="1:5">
      <c r="A235" s="19"/>
      <c r="B235" s="19"/>
      <c r="C235" s="20"/>
      <c r="D235" s="19"/>
      <c r="E235" s="19"/>
    </row>
    <row r="236" spans="1:5">
      <c r="A236" s="19"/>
      <c r="B236" s="19"/>
      <c r="C236" s="20"/>
      <c r="D236" s="19"/>
      <c r="E236" s="19"/>
    </row>
    <row r="237" spans="1:5">
      <c r="A237" s="19"/>
      <c r="B237" s="19"/>
      <c r="C237" s="20"/>
      <c r="D237" s="19"/>
      <c r="E237" s="19"/>
    </row>
    <row r="238" spans="1:5">
      <c r="A238" s="19"/>
      <c r="B238" s="19"/>
      <c r="C238" s="20"/>
      <c r="D238" s="19"/>
      <c r="E238" s="19"/>
    </row>
    <row r="239" spans="1:5">
      <c r="A239" s="19"/>
      <c r="B239" s="19"/>
      <c r="C239" s="20"/>
      <c r="D239" s="19"/>
      <c r="E239" s="19"/>
    </row>
    <row r="240" spans="1:5">
      <c r="A240" s="19"/>
      <c r="B240" s="19"/>
      <c r="C240" s="20"/>
      <c r="D240" s="19"/>
      <c r="E240" s="19"/>
    </row>
    <row r="241" spans="1:5">
      <c r="A241" s="19"/>
      <c r="B241" s="19"/>
      <c r="C241" s="20"/>
      <c r="D241" s="19"/>
      <c r="E241" s="19"/>
    </row>
    <row r="242" spans="1:5">
      <c r="A242" s="19"/>
      <c r="B242" s="19"/>
      <c r="C242" s="20"/>
      <c r="D242" s="19"/>
      <c r="E242" s="19"/>
    </row>
    <row r="243" spans="1:5">
      <c r="A243" s="19"/>
      <c r="B243" s="19"/>
      <c r="C243" s="20"/>
      <c r="D243" s="19"/>
      <c r="E243" s="19"/>
    </row>
    <row r="244" spans="1:5">
      <c r="A244" s="19"/>
      <c r="B244" s="19"/>
      <c r="C244" s="20"/>
      <c r="D244" s="19"/>
      <c r="E244" s="19"/>
    </row>
    <row r="245" spans="1:5">
      <c r="A245" s="19"/>
      <c r="B245" s="19"/>
      <c r="C245" s="20"/>
      <c r="D245" s="19"/>
      <c r="E245" s="19"/>
    </row>
    <row r="246" spans="1:5">
      <c r="A246" s="19"/>
      <c r="B246" s="19"/>
      <c r="C246" s="20"/>
      <c r="D246" s="19"/>
      <c r="E246" s="19"/>
    </row>
    <row r="247" spans="1:5">
      <c r="A247" s="19"/>
      <c r="B247" s="19"/>
      <c r="C247" s="20"/>
      <c r="D247" s="19"/>
      <c r="E247" s="19"/>
    </row>
    <row r="248" spans="1:5">
      <c r="A248" s="19"/>
      <c r="B248" s="19"/>
      <c r="C248" s="20"/>
      <c r="D248" s="19"/>
      <c r="E248" s="19"/>
    </row>
    <row r="249" spans="1:5">
      <c r="A249" s="19"/>
      <c r="B249" s="19"/>
      <c r="C249" s="20"/>
      <c r="D249" s="19"/>
      <c r="E249" s="19"/>
    </row>
    <row r="250" spans="1:5">
      <c r="A250" s="19"/>
      <c r="B250" s="19"/>
      <c r="C250" s="20"/>
      <c r="D250" s="19"/>
      <c r="E250" s="19"/>
    </row>
    <row r="251" spans="1:5">
      <c r="A251" s="19"/>
      <c r="B251" s="19"/>
      <c r="C251" s="20"/>
      <c r="D251" s="19"/>
      <c r="E251" s="19"/>
    </row>
    <row r="252" spans="1:5">
      <c r="A252" s="19"/>
      <c r="B252" s="19"/>
      <c r="C252" s="20"/>
      <c r="D252" s="19"/>
      <c r="E252" s="19"/>
    </row>
    <row r="253" spans="1:5">
      <c r="A253" s="19"/>
      <c r="B253" s="19"/>
      <c r="C253" s="20"/>
      <c r="D253" s="19"/>
      <c r="E253" s="19"/>
    </row>
    <row r="254" spans="1:5">
      <c r="A254" s="19"/>
      <c r="B254" s="19"/>
      <c r="C254" s="20"/>
      <c r="D254" s="19"/>
      <c r="E254" s="19"/>
    </row>
    <row r="255" spans="1:5">
      <c r="A255" s="19"/>
      <c r="B255" s="19"/>
      <c r="C255" s="20"/>
      <c r="D255" s="19"/>
      <c r="E255" s="19"/>
    </row>
    <row r="256" spans="1:5">
      <c r="A256" s="19"/>
      <c r="B256" s="19"/>
      <c r="C256" s="20"/>
      <c r="D256" s="19"/>
      <c r="E256" s="19"/>
    </row>
    <row r="257" spans="1:5">
      <c r="A257" s="19"/>
      <c r="B257" s="19"/>
      <c r="C257" s="20"/>
      <c r="D257" s="19"/>
      <c r="E257" s="19"/>
    </row>
    <row r="258" spans="1:5">
      <c r="A258" s="19"/>
      <c r="B258" s="19"/>
      <c r="C258" s="20"/>
      <c r="D258" s="19"/>
      <c r="E258" s="19"/>
    </row>
    <row r="259" spans="1:5">
      <c r="A259" s="19"/>
      <c r="B259" s="19"/>
      <c r="C259" s="20"/>
      <c r="D259" s="19"/>
      <c r="E259" s="19"/>
    </row>
    <row r="260" spans="1:5">
      <c r="A260" s="19"/>
      <c r="B260" s="19"/>
      <c r="C260" s="20"/>
      <c r="D260" s="19"/>
      <c r="E260" s="19"/>
    </row>
    <row r="261" spans="1:5">
      <c r="A261" s="19"/>
      <c r="B261" s="19"/>
      <c r="C261" s="20"/>
      <c r="D261" s="19"/>
      <c r="E261" s="19"/>
    </row>
    <row r="262" spans="1:5">
      <c r="A262" s="19"/>
      <c r="B262" s="19"/>
      <c r="C262" s="20"/>
      <c r="D262" s="19"/>
      <c r="E262" s="19"/>
    </row>
    <row r="263" spans="1:5">
      <c r="A263" s="19"/>
      <c r="B263" s="19"/>
      <c r="C263" s="20"/>
      <c r="D263" s="19"/>
      <c r="E263" s="19"/>
    </row>
    <row r="264" spans="1:5">
      <c r="A264" s="19"/>
      <c r="B264" s="19"/>
      <c r="C264" s="20"/>
      <c r="D264" s="19"/>
      <c r="E264" s="19"/>
    </row>
    <row r="265" spans="1:5">
      <c r="A265" s="19"/>
      <c r="B265" s="19"/>
      <c r="C265" s="20"/>
      <c r="D265" s="19"/>
      <c r="E265" s="19"/>
    </row>
    <row r="266" spans="1:5">
      <c r="A266" s="19"/>
      <c r="B266" s="19"/>
      <c r="C266" s="20"/>
      <c r="D266" s="19"/>
      <c r="E266" s="19"/>
    </row>
    <row r="267" spans="1:5">
      <c r="A267" s="19"/>
      <c r="B267" s="19"/>
      <c r="C267" s="20"/>
      <c r="D267" s="19"/>
      <c r="E267" s="19"/>
    </row>
    <row r="268" spans="1:5">
      <c r="A268" s="19"/>
      <c r="B268" s="19"/>
      <c r="C268" s="20"/>
      <c r="D268" s="19"/>
      <c r="E268" s="19"/>
    </row>
    <row r="269" spans="1:5">
      <c r="A269" s="19"/>
      <c r="B269" s="19"/>
      <c r="C269" s="20"/>
      <c r="D269" s="19"/>
      <c r="E269" s="19"/>
    </row>
    <row r="270" spans="1:5">
      <c r="A270" s="19"/>
      <c r="B270" s="19"/>
      <c r="C270" s="20"/>
      <c r="D270" s="19"/>
      <c r="E270" s="19"/>
    </row>
    <row r="271" spans="1:5">
      <c r="A271" s="19"/>
      <c r="B271" s="19"/>
      <c r="C271" s="20"/>
      <c r="D271" s="19"/>
      <c r="E271" s="19"/>
    </row>
    <row r="272" spans="1:5">
      <c r="A272" s="19"/>
      <c r="B272" s="19"/>
      <c r="C272" s="20"/>
      <c r="D272" s="19"/>
      <c r="E272" s="19"/>
    </row>
    <row r="273" spans="1:5">
      <c r="A273" s="19"/>
      <c r="B273" s="19"/>
      <c r="C273" s="20"/>
      <c r="D273" s="19"/>
      <c r="E273" s="19"/>
    </row>
    <row r="274" spans="1:5">
      <c r="A274" s="19"/>
      <c r="B274" s="19"/>
      <c r="C274" s="20"/>
      <c r="D274" s="19"/>
      <c r="E274" s="19"/>
    </row>
    <row r="275" spans="1:5">
      <c r="A275" s="19"/>
      <c r="B275" s="19"/>
      <c r="C275" s="20"/>
      <c r="D275" s="19"/>
      <c r="E275" s="19"/>
    </row>
    <row r="276" spans="1:5">
      <c r="A276" s="19"/>
      <c r="B276" s="19"/>
      <c r="C276" s="20"/>
      <c r="D276" s="19"/>
      <c r="E276" s="19"/>
    </row>
    <row r="277" spans="1:5">
      <c r="A277" s="19"/>
      <c r="B277" s="19"/>
      <c r="C277" s="20"/>
      <c r="D277" s="19"/>
      <c r="E277" s="19"/>
    </row>
    <row r="278" spans="1:5">
      <c r="A278" s="19"/>
      <c r="B278" s="19"/>
      <c r="C278" s="20"/>
      <c r="D278" s="19"/>
      <c r="E278" s="19"/>
    </row>
    <row r="279" spans="1:5">
      <c r="A279" s="19"/>
      <c r="B279" s="19"/>
      <c r="C279" s="20"/>
      <c r="D279" s="19"/>
      <c r="E279" s="19"/>
    </row>
    <row r="280" spans="1:5">
      <c r="A280" s="19"/>
      <c r="B280" s="19"/>
      <c r="C280" s="20"/>
      <c r="D280" s="19"/>
      <c r="E280" s="19"/>
    </row>
    <row r="281" spans="1:5">
      <c r="A281" s="19"/>
      <c r="B281" s="19"/>
      <c r="C281" s="20"/>
      <c r="D281" s="19"/>
      <c r="E281" s="19"/>
    </row>
    <row r="282" spans="1:5">
      <c r="A282" s="19"/>
      <c r="B282" s="19"/>
      <c r="C282" s="20"/>
      <c r="D282" s="19"/>
      <c r="E282" s="19"/>
    </row>
    <row r="283" spans="1:5">
      <c r="A283" s="19"/>
      <c r="B283" s="19"/>
      <c r="C283" s="20"/>
      <c r="D283" s="19"/>
      <c r="E283" s="19"/>
    </row>
    <row r="284" spans="1:5">
      <c r="A284" s="19"/>
      <c r="B284" s="19"/>
      <c r="C284" s="20"/>
      <c r="D284" s="19"/>
      <c r="E284" s="19"/>
    </row>
    <row r="285" spans="1:5">
      <c r="A285" s="19"/>
      <c r="B285" s="19"/>
      <c r="C285" s="20"/>
      <c r="D285" s="19"/>
      <c r="E285" s="19"/>
    </row>
    <row r="286" spans="1:5">
      <c r="A286" s="19"/>
      <c r="B286" s="19"/>
      <c r="C286" s="20"/>
      <c r="D286" s="19"/>
      <c r="E286" s="19"/>
    </row>
    <row r="287" spans="1:5">
      <c r="A287" s="19"/>
      <c r="B287" s="19"/>
      <c r="C287" s="20"/>
      <c r="D287" s="19"/>
      <c r="E287" s="19"/>
    </row>
    <row r="288" spans="1:5">
      <c r="A288" s="19"/>
      <c r="B288" s="19"/>
      <c r="C288" s="20"/>
      <c r="D288" s="19"/>
      <c r="E288" s="19"/>
    </row>
    <row r="289" spans="1:5">
      <c r="A289" s="19"/>
      <c r="B289" s="19"/>
      <c r="C289" s="20"/>
      <c r="D289" s="19"/>
      <c r="E289" s="19"/>
    </row>
    <row r="290" spans="1:5">
      <c r="A290" s="19"/>
      <c r="B290" s="19"/>
      <c r="C290" s="20"/>
      <c r="D290" s="19"/>
      <c r="E290" s="19"/>
    </row>
    <row r="291" spans="1:5">
      <c r="A291" s="19"/>
      <c r="B291" s="19"/>
      <c r="C291" s="20"/>
      <c r="D291" s="19"/>
      <c r="E291" s="19"/>
    </row>
    <row r="292" spans="1:5">
      <c r="A292" s="19"/>
      <c r="B292" s="19"/>
      <c r="C292" s="20"/>
      <c r="D292" s="19"/>
      <c r="E292" s="19"/>
    </row>
    <row r="293" spans="1:5">
      <c r="A293" s="19"/>
      <c r="B293" s="19"/>
      <c r="C293" s="20"/>
      <c r="D293" s="19"/>
      <c r="E293" s="19"/>
    </row>
    <row r="294" spans="1:5">
      <c r="A294" s="19"/>
      <c r="B294" s="19"/>
      <c r="C294" s="20"/>
      <c r="D294" s="19"/>
      <c r="E294" s="19"/>
    </row>
    <row r="295" spans="1:5">
      <c r="A295" s="19"/>
      <c r="B295" s="19"/>
      <c r="C295" s="20"/>
      <c r="D295" s="19"/>
      <c r="E295" s="19"/>
    </row>
    <row r="296" spans="1:5">
      <c r="A296" s="19"/>
      <c r="B296" s="19"/>
      <c r="C296" s="20"/>
      <c r="D296" s="19"/>
      <c r="E296" s="19"/>
    </row>
    <row r="297" spans="1:5">
      <c r="A297" s="19"/>
      <c r="B297" s="19"/>
      <c r="C297" s="20"/>
      <c r="D297" s="19"/>
      <c r="E297" s="19"/>
    </row>
    <row r="298" spans="1:5">
      <c r="A298" s="19"/>
      <c r="B298" s="19"/>
      <c r="C298" s="20"/>
      <c r="D298" s="19"/>
      <c r="E298" s="19"/>
    </row>
    <row r="299" spans="1:5">
      <c r="A299" s="19"/>
      <c r="B299" s="19"/>
      <c r="C299" s="20"/>
      <c r="D299" s="19"/>
      <c r="E299" s="19"/>
    </row>
    <row r="300" spans="1:5">
      <c r="A300" s="19"/>
      <c r="B300" s="19"/>
      <c r="C300" s="20"/>
      <c r="D300" s="19"/>
      <c r="E300" s="19"/>
    </row>
    <row r="301" spans="1:5">
      <c r="A301" s="19"/>
      <c r="B301" s="19"/>
      <c r="C301" s="20"/>
      <c r="D301" s="19"/>
      <c r="E301" s="19"/>
    </row>
    <row r="302" spans="1:5">
      <c r="A302" s="19"/>
      <c r="B302" s="19"/>
      <c r="C302" s="20"/>
      <c r="D302" s="19"/>
      <c r="E302" s="19"/>
    </row>
    <row r="303" spans="1:5">
      <c r="A303" s="19"/>
      <c r="B303" s="19"/>
      <c r="C303" s="20"/>
      <c r="D303" s="19"/>
      <c r="E303" s="19"/>
    </row>
    <row r="304" spans="1:5">
      <c r="A304" s="19"/>
      <c r="B304" s="19"/>
      <c r="C304" s="20"/>
      <c r="D304" s="19"/>
      <c r="E304" s="19"/>
    </row>
    <row r="305" spans="1:5">
      <c r="A305" s="19"/>
      <c r="B305" s="19"/>
      <c r="C305" s="20"/>
      <c r="D305" s="19"/>
      <c r="E305" s="19"/>
    </row>
    <row r="306" spans="1:5">
      <c r="A306" s="19"/>
      <c r="B306" s="19"/>
      <c r="C306" s="20"/>
      <c r="D306" s="19"/>
      <c r="E306" s="19"/>
    </row>
    <row r="307" spans="1:5">
      <c r="A307" s="19"/>
      <c r="B307" s="19"/>
      <c r="C307" s="20"/>
      <c r="D307" s="19"/>
      <c r="E307" s="19"/>
    </row>
  </sheetData>
  <mergeCells count="3">
    <mergeCell ref="A3:G3"/>
    <mergeCell ref="B4:G4"/>
    <mergeCell ref="A2:G2"/>
  </mergeCells>
  <pageMargins left="7.874015748031496E-2" right="0" top="0" bottom="0" header="0" footer="0"/>
  <pageSetup paperSize="9" scale="46" firstPageNumber="4294967295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5"/>
  <sheetViews>
    <sheetView workbookViewId="0">
      <selection activeCell="H1" sqref="H1"/>
    </sheetView>
  </sheetViews>
  <sheetFormatPr defaultRowHeight="13.8" outlineLevelCol="1"/>
  <cols>
    <col min="1" max="1" width="64" style="38" customWidth="1"/>
    <col min="2" max="3" width="16.109375" style="38" customWidth="1" outlineLevel="1"/>
    <col min="4" max="4" width="16.33203125" style="38" customWidth="1" outlineLevel="1"/>
    <col min="5" max="5" width="14.88671875" style="38" customWidth="1" outlineLevel="1"/>
    <col min="6" max="6" width="9.109375" style="38" customWidth="1" outlineLevel="1"/>
    <col min="7" max="13" width="15.77734375" style="38" customWidth="1"/>
    <col min="14" max="14" width="8.44140625" style="38" customWidth="1"/>
    <col min="15" max="21" width="15.77734375" style="38" customWidth="1"/>
    <col min="22" max="23" width="8.88671875" style="39"/>
    <col min="24" max="25" width="8.88671875" style="38"/>
    <col min="26" max="16384" width="8.88671875" style="37"/>
  </cols>
  <sheetData>
    <row r="1" spans="1:25" ht="32.4" customHeight="1">
      <c r="A1" s="216" t="s">
        <v>34</v>
      </c>
      <c r="B1" s="216"/>
      <c r="C1" s="216"/>
      <c r="D1" s="216"/>
      <c r="E1" s="216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5" ht="27.6" customHeight="1">
      <c r="A2" s="41" t="s">
        <v>35</v>
      </c>
      <c r="B2" s="42" t="s">
        <v>36</v>
      </c>
      <c r="C2" s="42" t="s">
        <v>37</v>
      </c>
      <c r="D2" s="42" t="s">
        <v>38</v>
      </c>
      <c r="E2" s="43" t="s">
        <v>39</v>
      </c>
      <c r="F2" s="44"/>
      <c r="G2" s="45" t="s">
        <v>40</v>
      </c>
      <c r="H2" s="46" t="s">
        <v>41</v>
      </c>
      <c r="I2" s="47" t="s">
        <v>39</v>
      </c>
      <c r="J2" s="48" t="s">
        <v>42</v>
      </c>
      <c r="K2" s="49" t="s">
        <v>43</v>
      </c>
      <c r="L2" s="49" t="s">
        <v>44</v>
      </c>
      <c r="M2" s="50" t="s">
        <v>9</v>
      </c>
      <c r="N2" s="44"/>
      <c r="O2" s="45" t="s">
        <v>45</v>
      </c>
      <c r="P2" s="46" t="s">
        <v>46</v>
      </c>
      <c r="Q2" s="47" t="s">
        <v>39</v>
      </c>
      <c r="R2" s="48" t="s">
        <v>42</v>
      </c>
      <c r="S2" s="49" t="s">
        <v>43</v>
      </c>
      <c r="T2" s="49" t="s">
        <v>44</v>
      </c>
      <c r="U2" s="50" t="s">
        <v>9</v>
      </c>
    </row>
    <row r="3" spans="1:25" s="51" customFormat="1" ht="26.4" customHeight="1">
      <c r="A3" s="52" t="s">
        <v>47</v>
      </c>
      <c r="B3" s="53">
        <f>('Тариф для ОСС_жилье'!E8*'Достаточность по ОСС'!X5+'Тариф для ОСС_нежилье'!E8*'Достаточность по ОСС'!X6)*12</f>
        <v>870364.00800000003</v>
      </c>
      <c r="C3" s="53">
        <f>(Разъяснения!M11+Разъяснения!N11)*12</f>
        <v>862733.55199679988</v>
      </c>
      <c r="D3" s="53">
        <f t="shared" ref="D3:D15" si="0">B3-C3</f>
        <v>7630.4560032001464</v>
      </c>
      <c r="E3" s="54">
        <f t="shared" ref="E3:E15" si="1">D3/B3*100</f>
        <v>0.87669709834786114</v>
      </c>
      <c r="F3" s="55"/>
      <c r="G3" s="56">
        <f>('Тариф для ОСС_жилье'!E8*'Достаточность по ОСС'!X5)*12</f>
        <v>859380.91200000001</v>
      </c>
      <c r="H3" s="53">
        <f>(Разъяснения!M11+Разъяснения!N11)*12/X8*X5</f>
        <v>851846.74448074063</v>
      </c>
      <c r="I3" s="57">
        <f t="shared" ref="I3:I14" si="2">(G3-H3)/G3*100</f>
        <v>0.8766970983478608</v>
      </c>
      <c r="J3" s="58">
        <f t="shared" ref="J3:J14" si="3">G3/$X$5/12</f>
        <v>6.18</v>
      </c>
      <c r="K3" s="59">
        <f t="shared" ref="K3:K14" si="4">H3/$X$5/12</f>
        <v>6.1258201193221025</v>
      </c>
      <c r="L3" s="59">
        <f t="shared" ref="L3:L15" si="5">J3-K3</f>
        <v>5.4179880677897252E-2</v>
      </c>
      <c r="M3" s="54">
        <f t="shared" ref="M3:M15" si="6">J3/K3*100-100</f>
        <v>0.88445105508408517</v>
      </c>
      <c r="N3" s="55"/>
      <c r="O3" s="56">
        <f>('Тариф для ОСС_нежилье'!E8*'Достаточность по ОСС'!X6)*12</f>
        <v>10983.096</v>
      </c>
      <c r="P3" s="53">
        <f>(Разъяснения!M11+Разъяснения!N11)*12/X8*X6</f>
        <v>10886.80751605924</v>
      </c>
      <c r="Q3" s="57">
        <f t="shared" ref="Q3:Q15" si="7">(O3-P3)/O3*100</f>
        <v>0.87669709834785892</v>
      </c>
      <c r="R3" s="58">
        <f t="shared" ref="R3:R14" si="8">O3/$X$6/12</f>
        <v>6.18</v>
      </c>
      <c r="S3" s="59">
        <f t="shared" ref="S3:S14" si="9">P3/$X$6/12</f>
        <v>6.1258201193221025</v>
      </c>
      <c r="T3" s="59">
        <f t="shared" ref="T3:T15" si="10">R3-S3</f>
        <v>5.4179880677897252E-2</v>
      </c>
      <c r="U3" s="54">
        <f t="shared" ref="U3:U15" si="11">R3/S3*100-100</f>
        <v>0.88445105508408517</v>
      </c>
      <c r="V3" s="60"/>
      <c r="W3" s="60"/>
      <c r="X3" s="61"/>
      <c r="Y3" s="61"/>
    </row>
    <row r="4" spans="1:25" s="51" customFormat="1" ht="26.4" customHeight="1">
      <c r="A4" s="52" t="s">
        <v>48</v>
      </c>
      <c r="B4" s="53">
        <f>('Тариф для ОСС_жилье'!E9*'Достаточность по ОСС'!X5+'Тариф для ОСС_нежилье'!E9*'Достаточность по ОСС'!X6)*12</f>
        <v>901347.84000000008</v>
      </c>
      <c r="C4" s="53">
        <v>891489.34800000011</v>
      </c>
      <c r="D4" s="53">
        <f t="shared" si="0"/>
        <v>9858.4919999999693</v>
      </c>
      <c r="E4" s="54">
        <f t="shared" si="1"/>
        <v>1.0937499999999964</v>
      </c>
      <c r="F4" s="55"/>
      <c r="G4" s="56">
        <f>('Тариф для ОСС_жилье'!E9*'Достаточность по ОСС'!X5)*12</f>
        <v>889973.76000000013</v>
      </c>
      <c r="H4" s="53">
        <v>880239.67200000014</v>
      </c>
      <c r="I4" s="57">
        <f t="shared" si="2"/>
        <v>1.0937499999999984</v>
      </c>
      <c r="J4" s="58">
        <f t="shared" si="3"/>
        <v>6.4000000000000012</v>
      </c>
      <c r="K4" s="59">
        <f t="shared" si="4"/>
        <v>6.330000000000001</v>
      </c>
      <c r="L4" s="59">
        <f t="shared" si="5"/>
        <v>7.0000000000000284E-2</v>
      </c>
      <c r="M4" s="54">
        <f t="shared" si="6"/>
        <v>1.1058451816745816</v>
      </c>
      <c r="N4" s="55"/>
      <c r="O4" s="56">
        <f>('Тариф для ОСС_нежилье'!E9*'Достаточность по ОСС'!X6)*12</f>
        <v>11374.08</v>
      </c>
      <c r="P4" s="53">
        <v>11249.675999999999</v>
      </c>
      <c r="Q4" s="57">
        <f t="shared" si="7"/>
        <v>1.093750000000004</v>
      </c>
      <c r="R4" s="58">
        <f t="shared" si="8"/>
        <v>6.3999999999999995</v>
      </c>
      <c r="S4" s="59">
        <f t="shared" si="9"/>
        <v>6.3299999999999992</v>
      </c>
      <c r="T4" s="59">
        <f t="shared" si="10"/>
        <v>7.0000000000000284E-2</v>
      </c>
      <c r="U4" s="54">
        <f t="shared" si="11"/>
        <v>1.1058451816745816</v>
      </c>
      <c r="V4" s="60"/>
      <c r="W4" s="61" t="s">
        <v>49</v>
      </c>
      <c r="X4" s="61"/>
      <c r="Y4" s="61"/>
    </row>
    <row r="5" spans="1:25" s="51" customFormat="1" ht="26.4" customHeight="1">
      <c r="A5" s="52" t="s">
        <v>50</v>
      </c>
      <c r="B5" s="53">
        <f>('Тариф для ОСС_жилье'!E10*'Достаточность по ОСС'!X5)*12</f>
        <v>232227.52800000002</v>
      </c>
      <c r="C5" s="53">
        <f>18772.88*12</f>
        <v>225274.56</v>
      </c>
      <c r="D5" s="53">
        <f t="shared" si="0"/>
        <v>6952.9680000000226</v>
      </c>
      <c r="E5" s="54">
        <f t="shared" si="1"/>
        <v>2.9940326454321218</v>
      </c>
      <c r="F5" s="55"/>
      <c r="G5" s="56">
        <f>('Тариф для ОСС_жилье'!E10*'Достаточность по ОСС'!X5)*12</f>
        <v>232227.52800000002</v>
      </c>
      <c r="H5" s="53">
        <f>18772.88*12</f>
        <v>225274.56</v>
      </c>
      <c r="I5" s="57">
        <f t="shared" si="2"/>
        <v>2.9940326454321218</v>
      </c>
      <c r="J5" s="58">
        <f t="shared" si="3"/>
        <v>1.67</v>
      </c>
      <c r="K5" s="59">
        <f t="shared" si="4"/>
        <v>1.6199996548212836</v>
      </c>
      <c r="L5" s="59">
        <f t="shared" si="5"/>
        <v>5.0000345178716321E-2</v>
      </c>
      <c r="M5" s="54">
        <f t="shared" si="6"/>
        <v>3.0864417180528534</v>
      </c>
      <c r="N5" s="55"/>
      <c r="O5" s="56">
        <v>0</v>
      </c>
      <c r="P5" s="53">
        <v>0</v>
      </c>
      <c r="Q5" s="57">
        <v>0</v>
      </c>
      <c r="R5" s="58">
        <f t="shared" si="8"/>
        <v>0</v>
      </c>
      <c r="S5" s="59">
        <f t="shared" si="9"/>
        <v>0</v>
      </c>
      <c r="T5" s="59">
        <f t="shared" si="10"/>
        <v>0</v>
      </c>
      <c r="U5" s="54">
        <v>0</v>
      </c>
      <c r="V5" s="60"/>
      <c r="W5" s="61" t="s">
        <v>51</v>
      </c>
      <c r="X5" s="61">
        <v>11588.2</v>
      </c>
      <c r="Y5" s="61"/>
    </row>
    <row r="6" spans="1:25" s="51" customFormat="1" ht="26.4" customHeight="1">
      <c r="A6" s="52" t="s">
        <v>52</v>
      </c>
      <c r="B6" s="53">
        <f>('Тариф для ОСС_жилье'!E11*'Достаточность по ОСС'!X5)*12</f>
        <v>344864.83199999999</v>
      </c>
      <c r="C6" s="53">
        <f>(Разъяснения!M17+Разъяснения!N17)*12</f>
        <v>338292.5001984</v>
      </c>
      <c r="D6" s="53">
        <f t="shared" si="0"/>
        <v>6572.3318015999976</v>
      </c>
      <c r="E6" s="54">
        <f t="shared" si="1"/>
        <v>1.9057703748696526</v>
      </c>
      <c r="F6" s="55"/>
      <c r="G6" s="56">
        <f>('Тариф для ОСС_жилье'!E11*'Достаточность по ОСС'!X5)*12</f>
        <v>344864.83199999999</v>
      </c>
      <c r="H6" s="53">
        <f>(Разъяснения!M17+Разъяснения!N17)*12</f>
        <v>338292.5001984</v>
      </c>
      <c r="I6" s="57">
        <f t="shared" si="2"/>
        <v>1.9057703748696526</v>
      </c>
      <c r="J6" s="58">
        <f t="shared" si="3"/>
        <v>2.48</v>
      </c>
      <c r="K6" s="59">
        <f t="shared" si="4"/>
        <v>2.4327368947032322</v>
      </c>
      <c r="L6" s="59">
        <f t="shared" si="5"/>
        <v>4.7263105296767804E-2</v>
      </c>
      <c r="M6" s="54">
        <f t="shared" si="6"/>
        <v>1.9427955978171383</v>
      </c>
      <c r="N6" s="55"/>
      <c r="O6" s="56">
        <v>0</v>
      </c>
      <c r="P6" s="53">
        <v>0</v>
      </c>
      <c r="Q6" s="57">
        <v>0</v>
      </c>
      <c r="R6" s="58">
        <f t="shared" si="8"/>
        <v>0</v>
      </c>
      <c r="S6" s="59">
        <f t="shared" si="9"/>
        <v>0</v>
      </c>
      <c r="T6" s="59">
        <f t="shared" si="10"/>
        <v>0</v>
      </c>
      <c r="U6" s="54">
        <v>0</v>
      </c>
      <c r="V6" s="60"/>
      <c r="W6" s="61" t="s">
        <v>53</v>
      </c>
      <c r="X6" s="61">
        <v>148.1</v>
      </c>
      <c r="Y6" s="61"/>
    </row>
    <row r="7" spans="1:25" s="51" customFormat="1" ht="26.4" customHeight="1">
      <c r="A7" s="52" t="s">
        <v>17</v>
      </c>
      <c r="B7" s="53">
        <f>('Тариф для ОСС_жилье'!E12*'Достаточность по ОСС'!X5+'Тариф для ОСС_нежилье'!E10*'Достаточность по ОСС'!X6)*12</f>
        <v>394653.43471200007</v>
      </c>
      <c r="C7" s="53">
        <f>(Разъяснения!M15+Разъяснения!N15)*12</f>
        <v>389447.95839839999</v>
      </c>
      <c r="D7" s="53">
        <f t="shared" si="0"/>
        <v>5205.4763136000838</v>
      </c>
      <c r="E7" s="54">
        <f t="shared" si="1"/>
        <v>1.3189993690030346</v>
      </c>
      <c r="F7" s="55"/>
      <c r="G7" s="56">
        <f>('Тариф для ОСС_жилье'!E12*'Достаточность по ОСС'!X5)*12</f>
        <v>386582.35200000007</v>
      </c>
      <c r="H7" s="53">
        <f>(Разъяснения!M15+Разъяснения!N15)*12/X8*X5</f>
        <v>384533.52687919862</v>
      </c>
      <c r="I7" s="57">
        <f t="shared" si="2"/>
        <v>0.52998413150568635</v>
      </c>
      <c r="J7" s="58">
        <f t="shared" si="3"/>
        <v>2.7800000000000007</v>
      </c>
      <c r="K7" s="59">
        <f t="shared" si="4"/>
        <v>2.7652664411441421</v>
      </c>
      <c r="L7" s="59">
        <f t="shared" si="5"/>
        <v>1.4733558855858586E-2</v>
      </c>
      <c r="M7" s="54">
        <f t="shared" si="6"/>
        <v>0.53280792898071638</v>
      </c>
      <c r="N7" s="55"/>
      <c r="O7" s="56">
        <f>('Тариф для ОСС_нежилье'!E10*'Достаточность по ОСС'!X6)*12</f>
        <v>8071.0827119999994</v>
      </c>
      <c r="P7" s="53">
        <f>(Разъяснения!M15+Разъяснения!N15)*12/X8*X6</f>
        <v>4914.4315192013692</v>
      </c>
      <c r="Q7" s="57">
        <f t="shared" si="7"/>
        <v>39.110628715343914</v>
      </c>
      <c r="R7" s="58">
        <f t="shared" si="8"/>
        <v>4.5414599999999998</v>
      </c>
      <c r="S7" s="59">
        <f t="shared" si="9"/>
        <v>2.7652664411441421</v>
      </c>
      <c r="T7" s="59">
        <f t="shared" si="10"/>
        <v>1.7761935588558577</v>
      </c>
      <c r="U7" s="54">
        <f t="shared" si="11"/>
        <v>64.23227550257144</v>
      </c>
      <c r="V7" s="60"/>
      <c r="W7" s="61" t="s">
        <v>54</v>
      </c>
      <c r="X7" s="61">
        <v>0</v>
      </c>
      <c r="Y7" s="61"/>
    </row>
    <row r="8" spans="1:25" s="61" customFormat="1" ht="26.4" customHeight="1">
      <c r="A8" s="52" t="s">
        <v>55</v>
      </c>
      <c r="B8" s="53">
        <f>('Тариф для ОСС_жилье'!E13*'Достаточность по ОСС'!X5+'Тариф для ОСС_нежилье'!E11*'Достаточность по ОСС'!X6)*12</f>
        <v>94359.852000000014</v>
      </c>
      <c r="C8" s="62">
        <f>'Слаб., тепл.системы'!D6*12</f>
        <v>94359.84</v>
      </c>
      <c r="D8" s="53">
        <f t="shared" si="0"/>
        <v>1.2000000016996637E-2</v>
      </c>
      <c r="E8" s="54">
        <f t="shared" si="1"/>
        <v>1.2717273037898189E-5</v>
      </c>
      <c r="F8" s="55"/>
      <c r="G8" s="56">
        <f>('Тариф для ОСС_жилье'!E13*'Достаточность по ОСС'!X5)*12</f>
        <v>93169.128000000012</v>
      </c>
      <c r="H8" s="62">
        <f>'Слаб., тепл.системы'!D6*12/X8*X5</f>
        <v>93169.116151427617</v>
      </c>
      <c r="I8" s="57">
        <f t="shared" si="2"/>
        <v>1.2717273037296796E-5</v>
      </c>
      <c r="J8" s="58">
        <f t="shared" si="3"/>
        <v>0.67</v>
      </c>
      <c r="K8" s="59">
        <f t="shared" si="4"/>
        <v>0.66999991479427068</v>
      </c>
      <c r="L8" s="59">
        <f t="shared" si="5"/>
        <v>8.5205729360993132E-8</v>
      </c>
      <c r="M8" s="54">
        <f t="shared" si="6"/>
        <v>1.2717274657347843E-5</v>
      </c>
      <c r="N8" s="55"/>
      <c r="O8" s="56">
        <f>('Тариф для ОСС_нежилье'!E11*'Достаточность по ОСС'!X6)*12</f>
        <v>1190.7240000000002</v>
      </c>
      <c r="P8" s="62">
        <v>1190.7240000000002</v>
      </c>
      <c r="Q8" s="57">
        <f t="shared" si="7"/>
        <v>0</v>
      </c>
      <c r="R8" s="58">
        <f t="shared" si="8"/>
        <v>0.67</v>
      </c>
      <c r="S8" s="59">
        <f t="shared" si="9"/>
        <v>0.67</v>
      </c>
      <c r="T8" s="59">
        <f t="shared" si="10"/>
        <v>0</v>
      </c>
      <c r="U8" s="54">
        <f t="shared" si="11"/>
        <v>0</v>
      </c>
      <c r="V8" s="60"/>
      <c r="X8" s="61">
        <f>SUM(X5:X7)</f>
        <v>11736.300000000001</v>
      </c>
    </row>
    <row r="9" spans="1:25" s="61" customFormat="1" ht="26.4" customHeight="1">
      <c r="A9" s="52" t="s">
        <v>56</v>
      </c>
      <c r="B9" s="53">
        <f>('Тариф для ОСС_жилье'!E14*'Достаточность по ОСС'!X5)*12</f>
        <v>47279.856000000007</v>
      </c>
      <c r="C9" s="62">
        <f>'Слаб., тепл.системы'!D8*12</f>
        <v>47279.88</v>
      </c>
      <c r="D9" s="53">
        <f t="shared" si="0"/>
        <v>-2.3999999990337528E-2</v>
      </c>
      <c r="E9" s="54">
        <f t="shared" si="1"/>
        <v>-5.076157590314473E-5</v>
      </c>
      <c r="F9" s="55"/>
      <c r="G9" s="56">
        <f>('Тариф для ОСС_жилье'!E14*'Достаточность по ОСС'!X5)*12</f>
        <v>47279.856000000007</v>
      </c>
      <c r="H9" s="62">
        <f>'Слаб., тепл.системы'!D8*12</f>
        <v>47279.88</v>
      </c>
      <c r="I9" s="57">
        <f t="shared" si="2"/>
        <v>-5.076157590314473E-5</v>
      </c>
      <c r="J9" s="58">
        <f t="shared" si="3"/>
        <v>0.34</v>
      </c>
      <c r="K9" s="59">
        <f t="shared" si="4"/>
        <v>0.34000017258935805</v>
      </c>
      <c r="L9" s="59">
        <f t="shared" si="5"/>
        <v>-1.7258935802733077E-7</v>
      </c>
      <c r="M9" s="54">
        <f t="shared" si="6"/>
        <v>-5.076155011352057E-5</v>
      </c>
      <c r="N9" s="55"/>
      <c r="O9" s="56">
        <v>0</v>
      </c>
      <c r="P9" s="62">
        <v>0</v>
      </c>
      <c r="Q9" s="57">
        <v>0</v>
      </c>
      <c r="R9" s="58">
        <f t="shared" si="8"/>
        <v>0</v>
      </c>
      <c r="S9" s="59">
        <f t="shared" si="9"/>
        <v>0</v>
      </c>
      <c r="T9" s="59">
        <f t="shared" si="10"/>
        <v>0</v>
      </c>
      <c r="U9" s="54">
        <v>0</v>
      </c>
      <c r="V9" s="60"/>
    </row>
    <row r="10" spans="1:25" s="61" customFormat="1" ht="26.4" customHeight="1">
      <c r="A10" s="52" t="s">
        <v>57</v>
      </c>
      <c r="B10" s="53">
        <f>('Тариф для ОСС_жилье'!E15*10596.3)*12</f>
        <v>527695.74</v>
      </c>
      <c r="C10" s="62">
        <f>(Лифты_расходы!L4+Лифты_расходы!M4+Лифты_расходы!N4+Лифты_расходы!O4)*12</f>
        <v>362513.31096000003</v>
      </c>
      <c r="D10" s="53">
        <f t="shared" si="0"/>
        <v>165182.42903999996</v>
      </c>
      <c r="E10" s="54">
        <f t="shared" si="1"/>
        <v>31.302589071497898</v>
      </c>
      <c r="F10" s="55"/>
      <c r="G10" s="56">
        <f>('Тариф для ОСС_жилье'!E15*'Достаточность по ОСС'!X5)*12</f>
        <v>577092.3600000001</v>
      </c>
      <c r="H10" s="62">
        <f>((Лифты_расходы!L4+Лифты_расходы!M4+Лифты_расходы!N4)*95%*1%+(Лифты_расходы!L4+Лифты_расходы!M4+Лифты_расходы!N4))*12</f>
        <v>353405.76</v>
      </c>
      <c r="I10" s="57">
        <f t="shared" si="2"/>
        <v>38.760970600962388</v>
      </c>
      <c r="J10" s="58">
        <f t="shared" si="3"/>
        <v>4.1500000000000004</v>
      </c>
      <c r="K10" s="59">
        <f t="shared" si="4"/>
        <v>2.5414197200600612</v>
      </c>
      <c r="L10" s="59">
        <f t="shared" si="5"/>
        <v>1.6085802799399391</v>
      </c>
      <c r="M10" s="54">
        <f t="shared" si="6"/>
        <v>63.294554112530591</v>
      </c>
      <c r="N10" s="55"/>
      <c r="O10" s="56">
        <v>0</v>
      </c>
      <c r="P10" s="62">
        <v>0</v>
      </c>
      <c r="Q10" s="57">
        <v>0</v>
      </c>
      <c r="R10" s="58">
        <f t="shared" si="8"/>
        <v>0</v>
      </c>
      <c r="S10" s="59">
        <f t="shared" si="9"/>
        <v>0</v>
      </c>
      <c r="T10" s="59">
        <f t="shared" si="10"/>
        <v>0</v>
      </c>
      <c r="U10" s="54">
        <v>0</v>
      </c>
      <c r="V10" s="60"/>
      <c r="W10" s="60"/>
    </row>
    <row r="11" spans="1:25" s="61" customFormat="1" ht="26.4" customHeight="1">
      <c r="A11" s="52" t="s">
        <v>58</v>
      </c>
      <c r="B11" s="53">
        <v>0</v>
      </c>
      <c r="C11" s="62">
        <v>0</v>
      </c>
      <c r="D11" s="53">
        <f t="shared" si="0"/>
        <v>0</v>
      </c>
      <c r="E11" s="54">
        <v>0</v>
      </c>
      <c r="F11" s="55"/>
      <c r="G11" s="56">
        <v>0</v>
      </c>
      <c r="H11" s="62">
        <v>0</v>
      </c>
      <c r="I11" s="57">
        <v>0</v>
      </c>
      <c r="J11" s="58">
        <f t="shared" si="3"/>
        <v>0</v>
      </c>
      <c r="K11" s="59">
        <f t="shared" si="4"/>
        <v>0</v>
      </c>
      <c r="L11" s="59">
        <f t="shared" si="5"/>
        <v>0</v>
      </c>
      <c r="M11" s="54">
        <v>0</v>
      </c>
      <c r="N11" s="55"/>
      <c r="O11" s="56">
        <v>0</v>
      </c>
      <c r="P11" s="62">
        <v>0</v>
      </c>
      <c r="Q11" s="57">
        <v>0</v>
      </c>
      <c r="R11" s="58">
        <f t="shared" si="8"/>
        <v>0</v>
      </c>
      <c r="S11" s="59">
        <f t="shared" si="9"/>
        <v>0</v>
      </c>
      <c r="T11" s="59">
        <f t="shared" si="10"/>
        <v>0</v>
      </c>
      <c r="U11" s="54">
        <v>0</v>
      </c>
      <c r="V11" s="60"/>
      <c r="W11" s="60"/>
    </row>
    <row r="12" spans="1:25" s="61" customFormat="1" ht="26.4" customHeight="1">
      <c r="A12" s="52" t="s">
        <v>59</v>
      </c>
      <c r="B12" s="53">
        <f>('Тариф для ОСС_жилье'!E16*'Достаточность по ОСС'!X5+'Тариф для ОСС_нежилье'!E12*'Достаточность по ОСС'!X6)*12</f>
        <v>1273153.8239999998</v>
      </c>
      <c r="C12" s="62">
        <f>(Управление!C12*98%*1%+Управление!D12)*12</f>
        <v>1261168.7974752001</v>
      </c>
      <c r="D12" s="53">
        <f t="shared" si="0"/>
        <v>11985.026524799643</v>
      </c>
      <c r="E12" s="54">
        <f t="shared" si="1"/>
        <v>0.94136515940745003</v>
      </c>
      <c r="F12" s="55"/>
      <c r="G12" s="56">
        <f>('Тариф для ОСС_жилье'!E16*'Достаточность по ОСС'!X5)*12</f>
        <v>1257087.936</v>
      </c>
      <c r="H12" s="62">
        <f>(Управление!C12*95%*1%+Управление!D12)*12/X8*X5</f>
        <v>1244877.0217665816</v>
      </c>
      <c r="I12" s="57">
        <f t="shared" si="2"/>
        <v>0.97136515940746526</v>
      </c>
      <c r="J12" s="58">
        <f t="shared" si="3"/>
        <v>9.0399999999999991</v>
      </c>
      <c r="K12" s="59">
        <f t="shared" si="4"/>
        <v>8.9521885895895643</v>
      </c>
      <c r="L12" s="59">
        <f t="shared" si="5"/>
        <v>8.7811410410434831E-2</v>
      </c>
      <c r="M12" s="54">
        <f t="shared" si="6"/>
        <v>0.98089321434258636</v>
      </c>
      <c r="N12" s="55"/>
      <c r="O12" s="56">
        <f>('Тариф для ОСС_нежилье'!E12*'Достаточность по ОСС'!X6)*12</f>
        <v>16065.887999999999</v>
      </c>
      <c r="P12" s="62">
        <f>(Управление!C12*95%*1%+Управление!D12)*12/X8*X6</f>
        <v>15909.829561418574</v>
      </c>
      <c r="Q12" s="57">
        <f t="shared" si="7"/>
        <v>0.97136515940746904</v>
      </c>
      <c r="R12" s="58">
        <f t="shared" si="8"/>
        <v>9.0400000000000009</v>
      </c>
      <c r="S12" s="59">
        <f t="shared" si="9"/>
        <v>8.9521885895895643</v>
      </c>
      <c r="T12" s="59">
        <f t="shared" si="10"/>
        <v>8.7811410410436608E-2</v>
      </c>
      <c r="U12" s="54">
        <f t="shared" si="11"/>
        <v>0.98089321434260057</v>
      </c>
      <c r="V12" s="60"/>
      <c r="W12" s="60"/>
    </row>
    <row r="13" spans="1:25" s="61" customFormat="1" ht="26.4" customHeight="1">
      <c r="A13" s="52" t="s">
        <v>26</v>
      </c>
      <c r="B13" s="53">
        <f>('Тариф для ОСС_жилье'!E21*'Достаточность по ОСС'!X5+'Тариф для ОСС_нежилье'!E17*'Достаточность по ОСС'!X6)*12</f>
        <v>61967.663999999997</v>
      </c>
      <c r="C13" s="62">
        <f>4929.24*12</f>
        <v>59150.879999999997</v>
      </c>
      <c r="D13" s="53">
        <f t="shared" si="0"/>
        <v>2816.7839999999997</v>
      </c>
      <c r="E13" s="54">
        <f t="shared" si="1"/>
        <v>4.5455707350853176</v>
      </c>
      <c r="F13" s="55"/>
      <c r="G13" s="56">
        <f>('Тариф для ОСС_жилье'!E21*'Достаточность по ОСС'!X5)*12</f>
        <v>61185.695999999996</v>
      </c>
      <c r="H13" s="62">
        <f>4929.24*12/X8*X5</f>
        <v>58404.456908565735</v>
      </c>
      <c r="I13" s="57">
        <f t="shared" si="2"/>
        <v>4.545570735085307</v>
      </c>
      <c r="J13" s="58">
        <f t="shared" si="3"/>
        <v>0.43999999999999995</v>
      </c>
      <c r="K13" s="59">
        <f t="shared" si="4"/>
        <v>0.4199994887656246</v>
      </c>
      <c r="L13" s="59">
        <f t="shared" si="5"/>
        <v>2.0000511234375351E-2</v>
      </c>
      <c r="M13" s="54">
        <f t="shared" si="6"/>
        <v>4.7620322808384259</v>
      </c>
      <c r="N13" s="55"/>
      <c r="O13" s="56">
        <f>('Тариф для ОСС_нежилье'!E17*'Достаточность по ОСС'!X6)*12</f>
        <v>781.96800000000007</v>
      </c>
      <c r="P13" s="62">
        <f>4929.24*12/X8*X6</f>
        <v>746.42309143426792</v>
      </c>
      <c r="Q13" s="57">
        <f t="shared" si="7"/>
        <v>4.5455707350853425</v>
      </c>
      <c r="R13" s="58">
        <f t="shared" si="8"/>
        <v>0.44000000000000011</v>
      </c>
      <c r="S13" s="59">
        <f t="shared" si="9"/>
        <v>0.4199994887656246</v>
      </c>
      <c r="T13" s="59">
        <f t="shared" si="10"/>
        <v>2.0000511234375518E-2</v>
      </c>
      <c r="U13" s="54">
        <f t="shared" si="11"/>
        <v>4.7620322808384401</v>
      </c>
      <c r="V13" s="60"/>
      <c r="W13" s="60"/>
    </row>
    <row r="14" spans="1:25" s="61" customFormat="1" ht="26.4" customHeight="1">
      <c r="A14" s="52" t="s">
        <v>27</v>
      </c>
      <c r="B14" s="53">
        <f>('Тариф для ОСС_жилье'!E22*'Достаточность по ОСС'!X5+'Тариф для ОСС_нежилье'!E18*'Достаточность по ОСС'!X6)*12</f>
        <v>28167.120000000003</v>
      </c>
      <c r="C14" s="62">
        <v>28167.120000000003</v>
      </c>
      <c r="D14" s="53">
        <f t="shared" si="0"/>
        <v>0</v>
      </c>
      <c r="E14" s="54">
        <f t="shared" si="1"/>
        <v>0</v>
      </c>
      <c r="F14" s="55"/>
      <c r="G14" s="56">
        <f>('Тариф для ОСС_жилье'!E22*'Достаточность по ОСС'!X5)*12</f>
        <v>27811.680000000004</v>
      </c>
      <c r="H14" s="62">
        <v>27811.680000000004</v>
      </c>
      <c r="I14" s="57">
        <f t="shared" si="2"/>
        <v>0</v>
      </c>
      <c r="J14" s="58">
        <f t="shared" si="3"/>
        <v>0.20000000000000004</v>
      </c>
      <c r="K14" s="59">
        <f t="shared" si="4"/>
        <v>0.20000000000000004</v>
      </c>
      <c r="L14" s="59">
        <f t="shared" si="5"/>
        <v>0</v>
      </c>
      <c r="M14" s="54">
        <f t="shared" si="6"/>
        <v>0</v>
      </c>
      <c r="N14" s="55"/>
      <c r="O14" s="56">
        <f>('Тариф для ОСС_нежилье'!E18*'Достаточность по ОСС'!X6)*12</f>
        <v>355.44</v>
      </c>
      <c r="P14" s="62">
        <v>355.44</v>
      </c>
      <c r="Q14" s="57">
        <f t="shared" si="7"/>
        <v>0</v>
      </c>
      <c r="R14" s="58">
        <f t="shared" si="8"/>
        <v>0.19999999999999998</v>
      </c>
      <c r="S14" s="59">
        <f t="shared" si="9"/>
        <v>0.19999999999999998</v>
      </c>
      <c r="T14" s="59">
        <f t="shared" si="10"/>
        <v>0</v>
      </c>
      <c r="U14" s="54">
        <f t="shared" si="11"/>
        <v>0</v>
      </c>
      <c r="V14" s="60"/>
      <c r="W14" s="60"/>
    </row>
    <row r="15" spans="1:25" s="61" customFormat="1" ht="26.4" customHeight="1">
      <c r="A15" s="63" t="s">
        <v>60</v>
      </c>
      <c r="B15" s="64">
        <f>SUM(B3:B14)</f>
        <v>4776081.6987120006</v>
      </c>
      <c r="C15" s="64">
        <f>SUM(C3:C14)</f>
        <v>4559877.7470287997</v>
      </c>
      <c r="D15" s="64">
        <f t="shared" si="0"/>
        <v>216203.9516832009</v>
      </c>
      <c r="E15" s="65">
        <f t="shared" si="1"/>
        <v>4.5268059744770728</v>
      </c>
      <c r="F15" s="66"/>
      <c r="G15" s="67">
        <f>SUM(G3:G14)</f>
        <v>4776656.0399999991</v>
      </c>
      <c r="H15" s="64">
        <f>SUM(H3:H14)</f>
        <v>4505134.9183849143</v>
      </c>
      <c r="I15" s="68">
        <f>(G15-H15)/G15*100</f>
        <v>5.6843348011946206</v>
      </c>
      <c r="J15" s="69">
        <f>SUM(J3:J14)</f>
        <v>34.35</v>
      </c>
      <c r="K15" s="70">
        <f>SUM(K3:K14)</f>
        <v>32.397430995789648</v>
      </c>
      <c r="L15" s="70">
        <f t="shared" si="5"/>
        <v>1.9525690042103534</v>
      </c>
      <c r="M15" s="65">
        <f t="shared" si="6"/>
        <v>6.0269254203029448</v>
      </c>
      <c r="N15" s="66"/>
      <c r="O15" s="67">
        <f>SUM(O3:O14)</f>
        <v>48822.278711999999</v>
      </c>
      <c r="P15" s="64">
        <f>SUM(P3:P14)</f>
        <v>45253.33168811346</v>
      </c>
      <c r="Q15" s="68">
        <f t="shared" si="7"/>
        <v>7.3100787551100739</v>
      </c>
      <c r="R15" s="69">
        <f>SUM(R3:R14)</f>
        <v>27.47146</v>
      </c>
      <c r="S15" s="70">
        <f>SUM(S3:S14)</f>
        <v>25.463274638821435</v>
      </c>
      <c r="T15" s="70">
        <f t="shared" si="10"/>
        <v>2.0081853611785654</v>
      </c>
      <c r="U15" s="65">
        <f t="shared" si="11"/>
        <v>7.8865950654943333</v>
      </c>
      <c r="V15" s="60"/>
      <c r="W15" s="60"/>
    </row>
  </sheetData>
  <mergeCells count="1">
    <mergeCell ref="A1:E1"/>
  </mergeCells>
  <pageMargins left="0.7" right="0.7" top="0.75" bottom="0.75" header="0.3" footer="0.3"/>
  <pageSetup paperSize="9" firstPageNumber="4294967295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W29"/>
  <sheetViews>
    <sheetView topLeftCell="D1" workbookViewId="0">
      <selection activeCell="P11" sqref="P11:P13"/>
    </sheetView>
  </sheetViews>
  <sheetFormatPr defaultColWidth="8.88671875" defaultRowHeight="14.4"/>
  <cols>
    <col min="1" max="1" width="28" style="72" customWidth="1"/>
    <col min="2" max="2" width="26.33203125" style="72" customWidth="1"/>
    <col min="3" max="4" width="12.6640625" style="72" customWidth="1"/>
    <col min="5" max="12" width="13.33203125" style="72" customWidth="1"/>
    <col min="13" max="15" width="12" style="72" customWidth="1"/>
    <col min="16" max="16" width="12.6640625" style="72" customWidth="1"/>
    <col min="17" max="17" width="12.88671875" style="72" customWidth="1"/>
    <col min="18" max="19" width="12" style="72" customWidth="1"/>
    <col min="20" max="20" width="11.6640625" style="72" customWidth="1"/>
    <col min="21" max="21" width="12.21875" style="72" customWidth="1"/>
    <col min="22" max="28" width="8.88671875" style="72"/>
    <col min="29" max="16384" width="8.88671875" style="71"/>
  </cols>
  <sheetData>
    <row r="2" spans="1:28">
      <c r="A2" s="73" t="s">
        <v>61</v>
      </c>
      <c r="B2" s="74"/>
    </row>
    <row r="3" spans="1:28" s="75" customFormat="1" ht="12">
      <c r="A3" s="75" t="s">
        <v>51</v>
      </c>
      <c r="B3" s="76">
        <v>11588.2</v>
      </c>
      <c r="E3" s="74"/>
    </row>
    <row r="4" spans="1:28" s="75" customFormat="1" ht="12">
      <c r="A4" s="75" t="s">
        <v>53</v>
      </c>
      <c r="B4" s="76">
        <v>148.1</v>
      </c>
      <c r="E4" s="74"/>
    </row>
    <row r="5" spans="1:28" s="75" customFormat="1" ht="12">
      <c r="A5" s="75" t="s">
        <v>54</v>
      </c>
      <c r="B5" s="76">
        <v>0</v>
      </c>
      <c r="E5" s="77"/>
    </row>
    <row r="6" spans="1:28" s="75" customFormat="1" ht="12">
      <c r="B6" s="78">
        <f>SUM(B3:B5)</f>
        <v>11736.300000000001</v>
      </c>
      <c r="E6" s="77"/>
    </row>
    <row r="7" spans="1:28" s="79" customFormat="1" ht="13.2">
      <c r="B7" s="80"/>
      <c r="O7" s="81"/>
    </row>
    <row r="8" spans="1:28">
      <c r="A8" s="82"/>
    </row>
    <row r="9" spans="1:28" s="83" customFormat="1" ht="39" customHeight="1">
      <c r="A9" s="84" t="s">
        <v>62</v>
      </c>
      <c r="B9" s="85" t="s">
        <v>63</v>
      </c>
      <c r="C9" s="85" t="s">
        <v>64</v>
      </c>
      <c r="D9" s="86" t="s">
        <v>65</v>
      </c>
      <c r="E9" s="87" t="s">
        <v>66</v>
      </c>
      <c r="F9" s="87" t="s">
        <v>67</v>
      </c>
      <c r="G9" s="87" t="s">
        <v>68</v>
      </c>
      <c r="H9" s="87" t="s">
        <v>69</v>
      </c>
      <c r="I9" s="87" t="s">
        <v>70</v>
      </c>
      <c r="J9" s="87" t="s">
        <v>71</v>
      </c>
      <c r="K9" s="87" t="s">
        <v>72</v>
      </c>
      <c r="L9" s="87" t="s">
        <v>73</v>
      </c>
      <c r="M9" s="87" t="s">
        <v>74</v>
      </c>
      <c r="N9" s="87" t="s">
        <v>75</v>
      </c>
      <c r="O9" s="87" t="s">
        <v>76</v>
      </c>
      <c r="P9" s="88" t="s">
        <v>77</v>
      </c>
      <c r="Q9" s="88" t="s">
        <v>78</v>
      </c>
      <c r="R9" s="87" t="s">
        <v>44</v>
      </c>
      <c r="S9" s="89" t="s">
        <v>9</v>
      </c>
      <c r="T9" s="90"/>
      <c r="U9" s="90"/>
      <c r="V9" s="90"/>
      <c r="W9" s="90"/>
      <c r="X9" s="90"/>
      <c r="Y9" s="90"/>
      <c r="Z9" s="90"/>
      <c r="AA9" s="90"/>
      <c r="AB9" s="90"/>
    </row>
    <row r="10" spans="1:28" s="83" customFormat="1" ht="12">
      <c r="A10" s="91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3"/>
      <c r="Q10" s="93"/>
      <c r="R10" s="94"/>
      <c r="S10" s="95"/>
      <c r="T10" s="90"/>
      <c r="U10" s="90"/>
      <c r="V10" s="90"/>
      <c r="W10" s="90"/>
      <c r="X10" s="90"/>
      <c r="Y10" s="90"/>
      <c r="Z10" s="90"/>
      <c r="AA10" s="90"/>
      <c r="AB10" s="90"/>
    </row>
    <row r="11" spans="1:28" s="96" customFormat="1" ht="12" customHeight="1">
      <c r="A11" s="226" t="s">
        <v>79</v>
      </c>
      <c r="B11" s="97" t="s">
        <v>80</v>
      </c>
      <c r="C11" s="97">
        <v>1</v>
      </c>
      <c r="D11" s="97">
        <f>9500</f>
        <v>9500</v>
      </c>
      <c r="E11" s="97">
        <f t="shared" ref="E11:E17" si="0">C11*D11</f>
        <v>9500</v>
      </c>
      <c r="F11" s="97"/>
      <c r="G11" s="97">
        <f t="shared" ref="G11:G17" si="1">E11+F11</f>
        <v>9500</v>
      </c>
      <c r="H11" s="97">
        <f>G11*15%</f>
        <v>1425</v>
      </c>
      <c r="I11" s="229">
        <f>26184*2/12</f>
        <v>4364</v>
      </c>
      <c r="J11" s="97">
        <v>0</v>
      </c>
      <c r="K11" s="97">
        <v>0</v>
      </c>
      <c r="L11" s="232"/>
      <c r="M11" s="229">
        <f>G11+G12+G13+H11+H12+H13+I11+J11+J12+J13+K11+K12+K13+L11</f>
        <v>71196.734666666656</v>
      </c>
      <c r="N11" s="232">
        <f>M11*98%*1%</f>
        <v>697.72799973333326</v>
      </c>
      <c r="O11" s="232">
        <f>(M11+N11)*10%</f>
        <v>7189.4462666399995</v>
      </c>
      <c r="P11" s="217">
        <f>(M11+N11+O11)/B6</f>
        <v>6.7384021312543121</v>
      </c>
      <c r="Q11" s="217">
        <v>5.72</v>
      </c>
      <c r="R11" s="220">
        <f>P11-Q11</f>
        <v>1.0184021312543123</v>
      </c>
      <c r="S11" s="223">
        <f>P11/Q11*100-100</f>
        <v>17.804233063886585</v>
      </c>
      <c r="T11" s="98"/>
      <c r="U11" s="98"/>
      <c r="V11" s="98"/>
      <c r="W11" s="98"/>
      <c r="X11" s="98"/>
      <c r="Y11" s="98"/>
      <c r="Z11" s="98"/>
      <c r="AA11" s="98"/>
      <c r="AB11" s="98"/>
    </row>
    <row r="12" spans="1:28" s="96" customFormat="1" ht="30.6" customHeight="1">
      <c r="A12" s="227"/>
      <c r="B12" s="99" t="s">
        <v>81</v>
      </c>
      <c r="C12" s="100">
        <v>1</v>
      </c>
      <c r="D12" s="100">
        <f>22800</f>
        <v>22800</v>
      </c>
      <c r="E12" s="100">
        <f t="shared" si="0"/>
        <v>22800</v>
      </c>
      <c r="F12" s="100">
        <f t="shared" ref="F12:F17" si="2">E12/12</f>
        <v>1900</v>
      </c>
      <c r="G12" s="100">
        <f t="shared" si="1"/>
        <v>24700</v>
      </c>
      <c r="H12" s="101">
        <f t="shared" ref="H12:H17" si="3">C12*16242*30.2%+(G12-16242*C12)*15%</f>
        <v>6173.7839999999997</v>
      </c>
      <c r="I12" s="230"/>
      <c r="J12" s="100">
        <f>(4202/12)+(4303/24)</f>
        <v>529.45833333333337</v>
      </c>
      <c r="K12" s="100">
        <f t="shared" ref="K12:K13" si="4">C12*5700/12</f>
        <v>475</v>
      </c>
      <c r="L12" s="233"/>
      <c r="M12" s="230"/>
      <c r="N12" s="233"/>
      <c r="O12" s="233"/>
      <c r="P12" s="218"/>
      <c r="Q12" s="218"/>
      <c r="R12" s="221"/>
      <c r="S12" s="224"/>
      <c r="T12" s="98"/>
      <c r="U12" s="98"/>
      <c r="V12" s="98"/>
      <c r="W12" s="98"/>
      <c r="X12" s="98"/>
      <c r="Y12" s="98"/>
      <c r="Z12" s="98"/>
      <c r="AA12" s="98"/>
      <c r="AB12" s="98"/>
    </row>
    <row r="13" spans="1:28" s="96" customFormat="1" ht="14.4" customHeight="1">
      <c r="A13" s="228"/>
      <c r="B13" s="103" t="s">
        <v>82</v>
      </c>
      <c r="C13" s="103">
        <v>1</v>
      </c>
      <c r="D13" s="103">
        <f>16500</f>
        <v>16500</v>
      </c>
      <c r="E13" s="103">
        <f t="shared" si="0"/>
        <v>16500</v>
      </c>
      <c r="F13" s="103">
        <f t="shared" si="2"/>
        <v>1375</v>
      </c>
      <c r="G13" s="103">
        <f t="shared" si="1"/>
        <v>17875</v>
      </c>
      <c r="H13" s="103">
        <f t="shared" si="3"/>
        <v>5150.0339999999997</v>
      </c>
      <c r="I13" s="231"/>
      <c r="J13" s="103">
        <f>C13*((4202/12)+(4303/24))</f>
        <v>529.45833333333337</v>
      </c>
      <c r="K13" s="103">
        <f t="shared" si="4"/>
        <v>475</v>
      </c>
      <c r="L13" s="234"/>
      <c r="M13" s="231"/>
      <c r="N13" s="234"/>
      <c r="O13" s="234"/>
      <c r="P13" s="219"/>
      <c r="Q13" s="219"/>
      <c r="R13" s="222"/>
      <c r="S13" s="225"/>
      <c r="T13" s="98"/>
      <c r="U13" s="98"/>
      <c r="V13" s="98"/>
      <c r="W13" s="98"/>
      <c r="X13" s="98"/>
      <c r="Y13" s="98"/>
      <c r="Z13" s="98"/>
      <c r="AA13" s="98"/>
      <c r="AB13" s="98"/>
    </row>
    <row r="14" spans="1:28" s="83" customFormat="1" ht="14.4" customHeight="1">
      <c r="A14" s="104"/>
      <c r="B14" s="92"/>
      <c r="C14" s="92"/>
      <c r="D14" s="92"/>
      <c r="E14" s="92"/>
      <c r="F14" s="92"/>
      <c r="G14" s="92"/>
      <c r="H14" s="92"/>
      <c r="I14" s="102"/>
      <c r="J14" s="92"/>
      <c r="K14" s="92"/>
      <c r="L14" s="92"/>
      <c r="M14" s="102"/>
      <c r="N14" s="102"/>
      <c r="O14" s="102"/>
      <c r="P14" s="105"/>
      <c r="Q14" s="105"/>
      <c r="R14" s="106"/>
      <c r="S14" s="107"/>
      <c r="T14" s="90"/>
      <c r="U14" s="90"/>
      <c r="V14" s="90"/>
      <c r="W14" s="90"/>
      <c r="X14" s="90"/>
      <c r="Y14" s="90"/>
      <c r="Z14" s="90"/>
      <c r="AA14" s="90"/>
      <c r="AB14" s="90"/>
    </row>
    <row r="15" spans="1:28" s="96" customFormat="1" ht="24">
      <c r="A15" s="108" t="s">
        <v>17</v>
      </c>
      <c r="B15" s="101" t="s">
        <v>83</v>
      </c>
      <c r="C15" s="101">
        <v>1</v>
      </c>
      <c r="D15" s="101">
        <v>20100</v>
      </c>
      <c r="E15" s="101">
        <f t="shared" si="0"/>
        <v>20100</v>
      </c>
      <c r="F15" s="101">
        <f t="shared" si="2"/>
        <v>1675</v>
      </c>
      <c r="G15" s="101">
        <f t="shared" si="1"/>
        <v>21775</v>
      </c>
      <c r="H15" s="101">
        <f t="shared" si="3"/>
        <v>5735.0339999999997</v>
      </c>
      <c r="I15" s="101">
        <f>11124*2/12</f>
        <v>1854</v>
      </c>
      <c r="J15" s="101">
        <f>C15*((2076/12)+(2448/24))</f>
        <v>275</v>
      </c>
      <c r="K15" s="101"/>
      <c r="L15" s="101">
        <f>30000/12</f>
        <v>2500</v>
      </c>
      <c r="M15" s="101">
        <f>G15+H15+I15+J15+K15+L15</f>
        <v>32139.034</v>
      </c>
      <c r="N15" s="101">
        <f>M15*98%*1%</f>
        <v>314.9625332</v>
      </c>
      <c r="O15" s="101">
        <f>(M15+N15)*10%</f>
        <v>3245.3996533200002</v>
      </c>
      <c r="P15" s="109">
        <f>(M15+N15+O15)/B6</f>
        <v>3.041793085258556</v>
      </c>
      <c r="Q15" s="109">
        <v>2.02</v>
      </c>
      <c r="R15" s="110">
        <f>P15-Q15</f>
        <v>1.0217930852585559</v>
      </c>
      <c r="S15" s="111">
        <f>P15/Q15*100-100</f>
        <v>50.583816101908724</v>
      </c>
      <c r="T15" s="98"/>
      <c r="U15" s="98"/>
      <c r="V15" s="98"/>
      <c r="W15" s="98"/>
      <c r="X15" s="98"/>
      <c r="Y15" s="98"/>
      <c r="Z15" s="98"/>
      <c r="AA15" s="98"/>
      <c r="AB15" s="98"/>
    </row>
    <row r="16" spans="1:28" s="96" customFormat="1" ht="14.4" customHeight="1">
      <c r="A16" s="108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9"/>
      <c r="Q16" s="109"/>
      <c r="R16" s="110"/>
      <c r="S16" s="111"/>
      <c r="T16" s="98"/>
      <c r="U16" s="98"/>
      <c r="V16" s="98"/>
      <c r="W16" s="98"/>
      <c r="X16" s="98"/>
      <c r="Y16" s="98"/>
      <c r="Z16" s="98"/>
      <c r="AA16" s="98"/>
      <c r="AB16" s="98"/>
    </row>
    <row r="17" spans="1:257" s="96" customFormat="1" ht="14.4" customHeight="1">
      <c r="A17" s="108" t="s">
        <v>16</v>
      </c>
      <c r="B17" s="101" t="s">
        <v>84</v>
      </c>
      <c r="C17" s="101">
        <v>1</v>
      </c>
      <c r="D17" s="101">
        <v>19100</v>
      </c>
      <c r="E17" s="101">
        <f t="shared" si="0"/>
        <v>19100</v>
      </c>
      <c r="F17" s="101">
        <f t="shared" si="2"/>
        <v>1591.6666666666667</v>
      </c>
      <c r="G17" s="101">
        <f t="shared" si="1"/>
        <v>20691.666666666668</v>
      </c>
      <c r="H17" s="101">
        <f t="shared" si="3"/>
        <v>5572.5339999999997</v>
      </c>
      <c r="I17" s="101">
        <f>6852*2/12</f>
        <v>1142</v>
      </c>
      <c r="J17" s="101">
        <f>C17*(4911/12+2448/24)</f>
        <v>511.25</v>
      </c>
      <c r="K17" s="101"/>
      <c r="L17" s="101"/>
      <c r="M17" s="101">
        <f>G17+H17+I17+J17+K17+L17</f>
        <v>27917.450666666668</v>
      </c>
      <c r="N17" s="101">
        <f>M17*98%*1%</f>
        <v>273.59101653333335</v>
      </c>
      <c r="O17" s="101">
        <f>(M17+N17)*10%</f>
        <v>2819.1041683200001</v>
      </c>
      <c r="P17" s="109">
        <f>(M17+N17+O17)/B3</f>
        <v>2.6760105841735555</v>
      </c>
      <c r="Q17" s="109">
        <v>2.17</v>
      </c>
      <c r="R17" s="110">
        <f>P17-Q17</f>
        <v>0.5060105841735556</v>
      </c>
      <c r="S17" s="111">
        <f>P17/Q17*100-100</f>
        <v>23.318460100163847</v>
      </c>
      <c r="T17" s="98"/>
      <c r="AB17" s="98"/>
    </row>
    <row r="18" spans="1:257" s="112" customFormat="1" ht="12">
      <c r="A18" s="113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5"/>
      <c r="Q18" s="115"/>
      <c r="R18" s="116"/>
      <c r="S18" s="117"/>
      <c r="T18" s="118"/>
      <c r="AB18" s="118"/>
    </row>
    <row r="19" spans="1:257" s="119" customFormat="1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</row>
    <row r="20" spans="1:257" s="119" customFormat="1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</row>
    <row r="21" spans="1:257" s="121" customFormat="1" ht="15.6" customHeight="1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</row>
    <row r="22" spans="1:257" s="121" customFormat="1" ht="13.8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  <c r="IU22" s="72"/>
      <c r="IV22" s="72"/>
      <c r="IW22" s="72"/>
    </row>
    <row r="23" spans="1:257" s="121" customFormat="1" ht="26.4" customHeight="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  <c r="IU23" s="72"/>
      <c r="IV23" s="72"/>
      <c r="IW23" s="72"/>
    </row>
    <row r="24" spans="1:257" s="121" customFormat="1" ht="26.4" customHeight="1">
      <c r="A24" s="72"/>
      <c r="B24" s="72"/>
      <c r="C24" s="72"/>
      <c r="D24" s="72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</row>
    <row r="25" spans="1:257" s="72" customFormat="1" ht="26.4" customHeight="1">
      <c r="AC25" s="71"/>
      <c r="AD25" s="71"/>
    </row>
    <row r="26" spans="1:257" ht="25.2" customHeight="1"/>
    <row r="27" spans="1:257" ht="25.2" customHeight="1"/>
    <row r="28" spans="1:257" ht="25.2" customHeight="1"/>
    <row r="29" spans="1:257" ht="25.2" customHeight="1"/>
  </sheetData>
  <mergeCells count="10">
    <mergeCell ref="P11:P13"/>
    <mergeCell ref="Q11:Q13"/>
    <mergeCell ref="R11:R13"/>
    <mergeCell ref="S11:S13"/>
    <mergeCell ref="A11:A13"/>
    <mergeCell ref="I11:I13"/>
    <mergeCell ref="M11:M13"/>
    <mergeCell ref="N11:N13"/>
    <mergeCell ref="O11:O13"/>
    <mergeCell ref="L11:L13"/>
  </mergeCells>
  <pageMargins left="0.7" right="0.7" top="0.75" bottom="0.75" header="0.3" footer="0.3"/>
  <pageSetup paperSize="9" firstPageNumber="4294967295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2"/>
  <sheetViews>
    <sheetView workbookViewId="0">
      <selection activeCell="H19" sqref="H19"/>
    </sheetView>
  </sheetViews>
  <sheetFormatPr defaultColWidth="8.88671875" defaultRowHeight="13.8"/>
  <cols>
    <col min="1" max="1" width="23.44140625" style="72" customWidth="1"/>
    <col min="2" max="2" width="26.44140625" style="72" customWidth="1"/>
    <col min="3" max="4" width="9" style="72" customWidth="1"/>
    <col min="5" max="5" width="10.5546875" style="72" customWidth="1"/>
    <col min="6" max="6" width="22.77734375" style="72" customWidth="1"/>
    <col min="7" max="10" width="14.44140625" style="72" customWidth="1"/>
    <col min="11" max="11" width="14.6640625" style="72" customWidth="1"/>
    <col min="12" max="12" width="11.44140625" style="72" customWidth="1"/>
    <col min="13" max="13" width="13.88671875" style="72" customWidth="1"/>
    <col min="14" max="14" width="13" style="72" bestFit="1" customWidth="1"/>
    <col min="15" max="16384" width="8.88671875" style="72"/>
  </cols>
  <sheetData>
    <row r="1" spans="1:10">
      <c r="A1" s="82" t="s">
        <v>85</v>
      </c>
    </row>
    <row r="3" spans="1:10" s="79" customFormat="1" ht="13.2">
      <c r="A3" s="122" t="s">
        <v>86</v>
      </c>
    </row>
    <row r="4" spans="1:10" s="79" customFormat="1" ht="26.4">
      <c r="A4" s="79" t="s">
        <v>51</v>
      </c>
      <c r="B4" s="123">
        <v>11588.2</v>
      </c>
      <c r="C4" s="124"/>
      <c r="F4" s="125"/>
      <c r="G4" s="126" t="s">
        <v>87</v>
      </c>
      <c r="H4" s="127" t="s">
        <v>88</v>
      </c>
      <c r="I4" s="128" t="s">
        <v>89</v>
      </c>
      <c r="J4" s="129" t="s">
        <v>90</v>
      </c>
    </row>
    <row r="5" spans="1:10" s="79" customFormat="1" ht="13.2">
      <c r="A5" s="79" t="s">
        <v>53</v>
      </c>
      <c r="B5" s="123">
        <v>148.1</v>
      </c>
      <c r="C5" s="124"/>
      <c r="F5" s="130" t="s">
        <v>91</v>
      </c>
      <c r="G5" s="131">
        <v>6</v>
      </c>
      <c r="H5" s="131">
        <v>10</v>
      </c>
      <c r="I5" s="131">
        <v>400</v>
      </c>
      <c r="J5" s="132">
        <v>1</v>
      </c>
    </row>
    <row r="6" spans="1:10" s="79" customFormat="1" ht="13.2">
      <c r="A6" s="79" t="s">
        <v>92</v>
      </c>
      <c r="B6" s="123">
        <v>0</v>
      </c>
      <c r="C6" s="124"/>
    </row>
    <row r="7" spans="1:10" s="79" customFormat="1" ht="13.2">
      <c r="B7" s="80">
        <f>SUM(B4:B6)</f>
        <v>11736.300000000001</v>
      </c>
    </row>
    <row r="8" spans="1:10" s="79" customFormat="1">
      <c r="F8" s="72"/>
      <c r="G8" s="72"/>
      <c r="H8" s="72"/>
      <c r="I8" s="72"/>
      <c r="J8" s="72"/>
    </row>
    <row r="9" spans="1:10" s="79" customFormat="1">
      <c r="B9" s="80"/>
      <c r="G9" s="72"/>
      <c r="H9" s="72"/>
      <c r="I9" s="133"/>
      <c r="J9" s="133"/>
    </row>
    <row r="10" spans="1:10" s="79" customFormat="1" ht="13.2">
      <c r="A10" s="79" t="s">
        <v>93</v>
      </c>
      <c r="B10" s="123">
        <f>177.7+199.3+160.1+200.3+200.4+54.1+148.1</f>
        <v>1140</v>
      </c>
      <c r="F10" s="133"/>
      <c r="G10" s="133"/>
      <c r="H10" s="133"/>
      <c r="I10" s="134"/>
      <c r="J10" s="135"/>
    </row>
    <row r="11" spans="1:10">
      <c r="F11" s="133"/>
      <c r="G11" s="133"/>
      <c r="H11" s="133"/>
      <c r="I11" s="133"/>
      <c r="J11" s="133"/>
    </row>
    <row r="12" spans="1:10" s="133" customFormat="1">
      <c r="A12" s="82" t="s">
        <v>94</v>
      </c>
      <c r="F12" s="135"/>
    </row>
    <row r="13" spans="1:10" s="133" customFormat="1" ht="13.2">
      <c r="A13" s="239" t="s">
        <v>95</v>
      </c>
      <c r="B13" s="240"/>
      <c r="C13" s="240"/>
      <c r="D13" s="240"/>
      <c r="E13" s="136">
        <v>6424.12</v>
      </c>
      <c r="F13" s="134"/>
    </row>
    <row r="14" spans="1:10" s="133" customFormat="1" ht="13.2">
      <c r="A14" s="235" t="s">
        <v>96</v>
      </c>
      <c r="B14" s="236"/>
      <c r="C14" s="236"/>
      <c r="D14" s="236"/>
      <c r="E14" s="137">
        <v>4.7E-2</v>
      </c>
    </row>
    <row r="15" spans="1:10" s="133" customFormat="1" ht="13.2">
      <c r="A15" s="235" t="s">
        <v>97</v>
      </c>
      <c r="B15" s="236"/>
      <c r="C15" s="236"/>
      <c r="D15" s="236"/>
      <c r="E15" s="137">
        <f>G5</f>
        <v>6</v>
      </c>
    </row>
    <row r="16" spans="1:10" s="133" customFormat="1" ht="13.2">
      <c r="A16" s="237" t="s">
        <v>98</v>
      </c>
      <c r="B16" s="238"/>
      <c r="C16" s="238"/>
      <c r="D16" s="238"/>
      <c r="E16" s="138">
        <f>H5</f>
        <v>10</v>
      </c>
      <c r="F16" s="139"/>
    </row>
    <row r="17" spans="1:13" s="133" customFormat="1" ht="22.2" customHeight="1">
      <c r="A17" s="140" t="s">
        <v>99</v>
      </c>
      <c r="B17" s="141"/>
      <c r="C17" s="141"/>
      <c r="D17" s="141"/>
      <c r="E17" s="142">
        <f>E13*(1+E14*(E16-2))*E15</f>
        <v>53037.534719999996</v>
      </c>
      <c r="F17" s="143"/>
    </row>
    <row r="18" spans="1:13" s="133" customFormat="1" ht="13.2">
      <c r="G18" s="144"/>
      <c r="H18" s="145"/>
      <c r="I18" s="145"/>
      <c r="J18" s="144"/>
    </row>
    <row r="19" spans="1:13">
      <c r="F19" s="79"/>
      <c r="G19" s="146"/>
      <c r="H19" s="134"/>
      <c r="I19" s="134"/>
      <c r="J19" s="146"/>
    </row>
    <row r="20" spans="1:13" s="79" customFormat="1">
      <c r="A20" s="122" t="s">
        <v>100</v>
      </c>
      <c r="E20" s="80">
        <f>E17</f>
        <v>53037.534719999996</v>
      </c>
      <c r="F20" s="72"/>
      <c r="G20" s="72"/>
      <c r="H20" s="72"/>
      <c r="I20" s="72"/>
      <c r="J20" s="72"/>
    </row>
    <row r="21" spans="1:13" s="145" customFormat="1">
      <c r="A21" s="147"/>
      <c r="B21" s="134"/>
      <c r="C21" s="148"/>
      <c r="E21" s="133"/>
      <c r="G21" s="72"/>
      <c r="H21" s="72"/>
      <c r="I21" s="72"/>
      <c r="J21" s="72"/>
      <c r="K21" s="144"/>
    </row>
    <row r="22" spans="1:13" s="149" customFormat="1">
      <c r="A22" s="150" t="s">
        <v>101</v>
      </c>
      <c r="E22" s="134">
        <f>E20/(B4+B5-B10)</f>
        <v>5.0052881401998803</v>
      </c>
      <c r="F22" s="134"/>
      <c r="G22" s="72"/>
      <c r="H22" s="72"/>
      <c r="I22" s="72"/>
      <c r="J22" s="72"/>
      <c r="K22" s="146"/>
      <c r="M22" s="134"/>
    </row>
  </sheetData>
  <mergeCells count="4">
    <mergeCell ref="A15:D15"/>
    <mergeCell ref="A16:D16"/>
    <mergeCell ref="A13:D13"/>
    <mergeCell ref="A14:D14"/>
  </mergeCells>
  <pageMargins left="0.7" right="0.7" top="0.75" bottom="0.75" header="0.3" footer="0.3"/>
  <pageSetup paperSize="9" firstPageNumber="4294967295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5"/>
  <sheetViews>
    <sheetView topLeftCell="C1" zoomScale="90" workbookViewId="0">
      <selection activeCell="L4" sqref="L4:O4"/>
    </sheetView>
  </sheetViews>
  <sheetFormatPr defaultColWidth="8.88671875" defaultRowHeight="13.8"/>
  <cols>
    <col min="1" max="2" width="17.6640625" style="151" customWidth="1"/>
    <col min="3" max="3" width="16.33203125" style="151" customWidth="1"/>
    <col min="4" max="9" width="15.33203125" style="151" customWidth="1"/>
    <col min="10" max="10" width="5.33203125" style="151" customWidth="1"/>
    <col min="11" max="11" width="15.33203125" style="151" customWidth="1"/>
    <col min="12" max="12" width="18.44140625" style="151" customWidth="1"/>
    <col min="13" max="17" width="15.33203125" style="151" customWidth="1"/>
    <col min="18" max="18" width="8.88671875" style="151"/>
    <col min="19" max="19" width="11.88671875" style="151" customWidth="1"/>
    <col min="20" max="16384" width="8.88671875" style="151"/>
  </cols>
  <sheetData>
    <row r="1" spans="1:19" s="152" customFormat="1" ht="34.950000000000003" customHeight="1">
      <c r="A1" s="243" t="s">
        <v>102</v>
      </c>
      <c r="B1" s="245" t="s">
        <v>103</v>
      </c>
      <c r="C1" s="245" t="s">
        <v>104</v>
      </c>
      <c r="D1" s="241" t="s">
        <v>105</v>
      </c>
      <c r="E1" s="241" t="s">
        <v>106</v>
      </c>
      <c r="F1" s="241"/>
      <c r="G1" s="241"/>
      <c r="H1" s="241" t="s">
        <v>107</v>
      </c>
      <c r="I1" s="247" t="s">
        <v>9</v>
      </c>
      <c r="K1" s="249" t="s">
        <v>108</v>
      </c>
      <c r="L1" s="241" t="s">
        <v>109</v>
      </c>
      <c r="M1" s="241"/>
      <c r="N1" s="241"/>
      <c r="O1" s="245" t="s">
        <v>75</v>
      </c>
      <c r="P1" s="241" t="s">
        <v>38</v>
      </c>
      <c r="Q1" s="247" t="s">
        <v>39</v>
      </c>
    </row>
    <row r="2" spans="1:19" s="152" customFormat="1" ht="24.6" customHeight="1">
      <c r="A2" s="244"/>
      <c r="B2" s="246"/>
      <c r="C2" s="246"/>
      <c r="D2" s="242"/>
      <c r="E2" s="154" t="s">
        <v>110</v>
      </c>
      <c r="F2" s="154" t="s">
        <v>111</v>
      </c>
      <c r="G2" s="154" t="s">
        <v>112</v>
      </c>
      <c r="H2" s="242"/>
      <c r="I2" s="248"/>
      <c r="K2" s="250"/>
      <c r="L2" s="153" t="s">
        <v>113</v>
      </c>
      <c r="M2" s="154" t="s">
        <v>111</v>
      </c>
      <c r="N2" s="154" t="s">
        <v>112</v>
      </c>
      <c r="O2" s="246"/>
      <c r="P2" s="242"/>
      <c r="Q2" s="248"/>
    </row>
    <row r="3" spans="1:19" s="155" customFormat="1" ht="13.2">
      <c r="A3" s="156"/>
      <c r="B3" s="157"/>
      <c r="C3" s="157"/>
      <c r="D3" s="158"/>
      <c r="E3" s="158"/>
      <c r="F3" s="158"/>
      <c r="G3" s="158"/>
      <c r="H3" s="158"/>
      <c r="I3" s="159"/>
      <c r="K3" s="156"/>
      <c r="L3" s="160"/>
      <c r="M3" s="158"/>
      <c r="N3" s="158"/>
      <c r="O3" s="158"/>
      <c r="P3" s="158"/>
      <c r="Q3" s="159"/>
    </row>
    <row r="4" spans="1:19" s="155" customFormat="1" ht="13.2">
      <c r="A4" s="161" t="s">
        <v>114</v>
      </c>
      <c r="B4" s="162" t="s">
        <v>115</v>
      </c>
      <c r="C4" s="162">
        <v>6</v>
      </c>
      <c r="D4" s="163">
        <f>3.06*10596.36</f>
        <v>32424.861600000004</v>
      </c>
      <c r="E4" s="163">
        <v>24500</v>
      </c>
      <c r="F4" s="163">
        <f>19000/12</f>
        <v>1583.3333333333333</v>
      </c>
      <c r="G4" s="163">
        <f>1800/12</f>
        <v>150</v>
      </c>
      <c r="H4" s="163">
        <f>D4-SUM(E4:G4)</f>
        <v>6191.5282666666717</v>
      </c>
      <c r="I4" s="164">
        <f>D4/(E4+F4+G4)*100-100</f>
        <v>23.601759593392657</v>
      </c>
      <c r="K4" s="165">
        <f>'Тариф для ОСС_жилье'!E15*10596.36</f>
        <v>43974.894000000008</v>
      </c>
      <c r="L4" s="166">
        <f>E4*1.12</f>
        <v>27440.000000000004</v>
      </c>
      <c r="M4" s="163">
        <f>19000/12</f>
        <v>1583.3333333333333</v>
      </c>
      <c r="N4" s="163">
        <f>1800/12</f>
        <v>150</v>
      </c>
      <c r="O4" s="163">
        <f>(K4-L4-M4-N4)*7%</f>
        <v>1036.1092466666671</v>
      </c>
      <c r="P4" s="163">
        <f>K4-SUM(L4:O4)</f>
        <v>13765.451420000005</v>
      </c>
      <c r="Q4" s="164">
        <f>P4/K4*100</f>
        <v>31.302978058343932</v>
      </c>
      <c r="S4" s="167">
        <f>E4/(D4-F4-G4)*(K4-M4-N4)</f>
        <v>33719.996845426991</v>
      </c>
    </row>
    <row r="5" spans="1:19" s="155" customFormat="1" ht="13.2">
      <c r="A5" s="168"/>
      <c r="B5" s="169"/>
      <c r="C5" s="169"/>
      <c r="D5" s="170"/>
      <c r="E5" s="170"/>
      <c r="F5" s="170"/>
      <c r="G5" s="170"/>
      <c r="H5" s="170"/>
      <c r="I5" s="171"/>
      <c r="K5" s="172"/>
      <c r="L5" s="173"/>
      <c r="M5" s="170"/>
      <c r="N5" s="170"/>
      <c r="O5" s="170"/>
      <c r="P5" s="170"/>
      <c r="Q5" s="171"/>
    </row>
  </sheetData>
  <mergeCells count="12">
    <mergeCell ref="I1:I2"/>
    <mergeCell ref="K1:K2"/>
    <mergeCell ref="L1:N1"/>
    <mergeCell ref="P1:P2"/>
    <mergeCell ref="Q1:Q2"/>
    <mergeCell ref="O1:O2"/>
    <mergeCell ref="H1:H2"/>
    <mergeCell ref="A1:A2"/>
    <mergeCell ref="B1:B2"/>
    <mergeCell ref="C1:C2"/>
    <mergeCell ref="D1:D2"/>
    <mergeCell ref="E1:G1"/>
  </mergeCells>
  <pageMargins left="0.7" right="0.7" top="0.75" bottom="0.75" header="0.3" footer="0.3"/>
  <pageSetup paperSize="9" firstPageNumber="4294967295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E12"/>
  <sheetViews>
    <sheetView workbookViewId="0">
      <selection activeCell="C18" sqref="C18"/>
    </sheetView>
  </sheetViews>
  <sheetFormatPr defaultRowHeight="13.2"/>
  <cols>
    <col min="1" max="1" width="45.77734375" style="174" customWidth="1"/>
    <col min="2" max="4" width="22.33203125" style="174" customWidth="1"/>
    <col min="5" max="5" width="47.33203125" style="174" customWidth="1"/>
    <col min="6" max="16384" width="8.88671875" style="174"/>
  </cols>
  <sheetData>
    <row r="4" spans="1:5" ht="29.4" customHeight="1">
      <c r="A4" s="175" t="s">
        <v>116</v>
      </c>
      <c r="B4" s="176" t="s">
        <v>105</v>
      </c>
      <c r="C4" s="176" t="s">
        <v>108</v>
      </c>
      <c r="D4" s="14" t="s">
        <v>117</v>
      </c>
      <c r="E4" s="175"/>
    </row>
    <row r="5" spans="1:5" ht="25.8" customHeight="1">
      <c r="A5" s="177" t="s">
        <v>22</v>
      </c>
      <c r="B5" s="178">
        <f>3.05*11736.3</f>
        <v>35795.714999999997</v>
      </c>
      <c r="C5" s="178">
        <f>3.05*11736.3</f>
        <v>35795.714999999997</v>
      </c>
      <c r="D5" s="251">
        <v>94359.86</v>
      </c>
      <c r="E5" s="177" t="s">
        <v>118</v>
      </c>
    </row>
    <row r="6" spans="1:5" ht="25.8" customHeight="1">
      <c r="A6" s="253" t="s">
        <v>23</v>
      </c>
      <c r="B6" s="251">
        <f>5.6*11736.3</f>
        <v>65723.28</v>
      </c>
      <c r="C6" s="251">
        <f>5.6*11736.3</f>
        <v>65723.28</v>
      </c>
      <c r="D6" s="252"/>
      <c r="E6" s="177" t="s">
        <v>118</v>
      </c>
    </row>
    <row r="7" spans="1:5" ht="25.8" customHeight="1">
      <c r="A7" s="254"/>
      <c r="B7" s="256"/>
      <c r="C7" s="256"/>
      <c r="D7" s="178">
        <f>20549/12</f>
        <v>1712.4166666666667</v>
      </c>
      <c r="E7" s="177" t="s">
        <v>119</v>
      </c>
    </row>
    <row r="8" spans="1:5" ht="25.8" customHeight="1">
      <c r="A8" s="254"/>
      <c r="B8" s="256"/>
      <c r="C8" s="256"/>
      <c r="D8" s="178">
        <f>15935.73/12</f>
        <v>1327.9775</v>
      </c>
      <c r="E8" s="177" t="s">
        <v>120</v>
      </c>
    </row>
    <row r="9" spans="1:5" ht="25.8" customHeight="1">
      <c r="A9" s="255"/>
      <c r="B9" s="252"/>
      <c r="C9" s="252"/>
      <c r="D9" s="178">
        <f>50000/12</f>
        <v>4166.666666666667</v>
      </c>
      <c r="E9" s="177" t="s">
        <v>121</v>
      </c>
    </row>
    <row r="10" spans="1:5" ht="25.8" customHeight="1">
      <c r="A10" s="177" t="s">
        <v>24</v>
      </c>
      <c r="B10" s="178">
        <f>0.3*11736.3</f>
        <v>3520.89</v>
      </c>
      <c r="C10" s="178">
        <f>0.3*11736.3</f>
        <v>3520.89</v>
      </c>
      <c r="D10" s="178">
        <f>29450/12</f>
        <v>2454.1666666666665</v>
      </c>
      <c r="E10" s="177" t="s">
        <v>122</v>
      </c>
    </row>
    <row r="11" spans="1:5" ht="25.8" customHeight="1">
      <c r="A11" s="177" t="s">
        <v>25</v>
      </c>
      <c r="B11" s="178">
        <f>0.09*11736.3</f>
        <v>1056.2669999999998</v>
      </c>
      <c r="C11" s="178">
        <f>0.09*11736.3</f>
        <v>1056.2669999999998</v>
      </c>
      <c r="D11" s="178">
        <f>438.84/12</f>
        <v>36.57</v>
      </c>
      <c r="E11" s="177" t="s">
        <v>123</v>
      </c>
    </row>
    <row r="12" spans="1:5" s="180" customFormat="1" ht="25.8" customHeight="1">
      <c r="A12" s="181" t="s">
        <v>60</v>
      </c>
      <c r="B12" s="182">
        <f>SUM(B5:B11)</f>
        <v>106096.152</v>
      </c>
      <c r="C12" s="182">
        <f>SUM(C5:C11)</f>
        <v>106096.152</v>
      </c>
      <c r="D12" s="182">
        <f>SUM(D5:D11)</f>
        <v>104057.65750000002</v>
      </c>
      <c r="E12" s="183"/>
    </row>
  </sheetData>
  <mergeCells count="4">
    <mergeCell ref="D5:D6"/>
    <mergeCell ref="A6:A9"/>
    <mergeCell ref="B6:B9"/>
    <mergeCell ref="C6:C9"/>
  </mergeCells>
  <pageMargins left="0.7" right="0.7" top="0.75" bottom="0.75" header="0.3" footer="0.3"/>
  <pageSetup paperSize="9" firstPageNumber="4294967295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E9"/>
  <sheetViews>
    <sheetView workbookViewId="0">
      <selection activeCell="D6" sqref="D6"/>
    </sheetView>
  </sheetViews>
  <sheetFormatPr defaultRowHeight="13.2"/>
  <cols>
    <col min="1" max="1" width="45.77734375" style="174" customWidth="1"/>
    <col min="2" max="4" width="22.33203125" style="174" customWidth="1"/>
    <col min="5" max="5" width="25.77734375" style="174" customWidth="1"/>
    <col min="6" max="16384" width="8.88671875" style="174"/>
  </cols>
  <sheetData>
    <row r="4" spans="1:5" ht="29.4" customHeight="1">
      <c r="A4" s="175"/>
      <c r="B4" s="176" t="s">
        <v>105</v>
      </c>
      <c r="C4" s="176" t="s">
        <v>108</v>
      </c>
      <c r="D4" s="14" t="s">
        <v>117</v>
      </c>
      <c r="E4" s="184"/>
    </row>
    <row r="5" spans="1:5" ht="29.4" customHeight="1">
      <c r="A5" s="175" t="s">
        <v>124</v>
      </c>
      <c r="B5" s="176"/>
      <c r="C5" s="176"/>
      <c r="D5" s="185"/>
      <c r="E5" s="184"/>
    </row>
    <row r="6" spans="1:5" ht="25.8" customHeight="1">
      <c r="A6" s="186" t="s">
        <v>18</v>
      </c>
      <c r="B6" s="178">
        <f>0.67*11736.3</f>
        <v>7863.3209999999999</v>
      </c>
      <c r="C6" s="178">
        <f>0.67*11736.3</f>
        <v>7863.3209999999999</v>
      </c>
      <c r="D6" s="179">
        <f>94359.84/12</f>
        <v>7863.32</v>
      </c>
      <c r="E6" s="177" t="s">
        <v>125</v>
      </c>
    </row>
    <row r="7" spans="1:5" ht="29.4" customHeight="1">
      <c r="A7" s="175" t="s">
        <v>126</v>
      </c>
      <c r="B7" s="178"/>
      <c r="C7" s="178"/>
      <c r="D7" s="179"/>
      <c r="E7" s="184"/>
    </row>
    <row r="8" spans="1:5" ht="25.8" customHeight="1">
      <c r="A8" s="187" t="s">
        <v>19</v>
      </c>
      <c r="B8" s="178">
        <f>0.34*11588.2</f>
        <v>3939.9880000000007</v>
      </c>
      <c r="C8" s="178">
        <f>0.34*11588.2</f>
        <v>3939.9880000000007</v>
      </c>
      <c r="D8" s="179">
        <v>3939.99</v>
      </c>
      <c r="E8" s="177" t="s">
        <v>127</v>
      </c>
    </row>
    <row r="9" spans="1:5" s="180" customFormat="1" ht="25.8" customHeight="1">
      <c r="A9" s="181" t="s">
        <v>60</v>
      </c>
      <c r="B9" s="182">
        <f>SUM(B6:B8)</f>
        <v>11803.309000000001</v>
      </c>
      <c r="C9" s="182">
        <f>SUM(C6:C8)</f>
        <v>11803.309000000001</v>
      </c>
      <c r="D9" s="182">
        <f>SUM(D6:D8)</f>
        <v>11803.31</v>
      </c>
      <c r="E9" s="188"/>
    </row>
  </sheetData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Тариф для ОСС_жилье</vt:lpstr>
      <vt:lpstr>Тариф для ОСС_нежилье</vt:lpstr>
      <vt:lpstr>Достаточность по ОСС</vt:lpstr>
      <vt:lpstr>Разъяснения</vt:lpstr>
      <vt:lpstr>Лифты_формула</vt:lpstr>
      <vt:lpstr>Лифты_расходы</vt:lpstr>
      <vt:lpstr>Управление</vt:lpstr>
      <vt:lpstr>Слаб., тепл.системы</vt:lpstr>
      <vt:lpstr>'Тариф для ОСС_жилье'!Область_печати</vt:lpstr>
      <vt:lpstr>'Тариф для ОСС_нежилье'!Область_печати</vt:lpstr>
    </vt:vector>
  </TitlesOfParts>
  <Company>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Сентякова Екатерина С.</dc:creator>
  <cp:lastModifiedBy>Управляющий ЖК Янила Кантри</cp:lastModifiedBy>
  <cp:revision>1</cp:revision>
  <dcterms:created xsi:type="dcterms:W3CDTF">2022-02-03T07:57:08Z</dcterms:created>
  <dcterms:modified xsi:type="dcterms:W3CDTF">2023-04-18T07:29:08Z</dcterms:modified>
</cp:coreProperties>
</file>